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B2F85CA-B984-4D00-B938-F89FFD6DFD2B}" xr6:coauthVersionLast="36" xr6:coauthVersionMax="36" xr10:uidLastSave="{00000000-0000-0000-0000-000000000000}"/>
  <bookViews>
    <workbookView xWindow="32760" yWindow="4560" windowWidth="14955" windowHeight="4155" xr2:uid="{00000000-000D-0000-FFFF-FFFF00000000}"/>
  </bookViews>
  <sheets>
    <sheet name=" 3歲入實收數" sheetId="4" r:id="rId1"/>
  </sheets>
  <definedNames>
    <definedName name="_xlnm.Print_Area" localSheetId="0">' 3歲入實收數'!$A$1:$U$142</definedName>
    <definedName name="_xlnm.Print_Titles" localSheetId="0">' 3歲入實收數'!$1:$6</definedName>
  </definedNames>
  <calcPr calcId="191029"/>
</workbook>
</file>

<file path=xl/calcChain.xml><?xml version="1.0" encoding="utf-8"?>
<calcChain xmlns="http://schemas.openxmlformats.org/spreadsheetml/2006/main">
  <c r="M238" i="4" l="1"/>
  <c r="L238" i="4"/>
  <c r="I238" i="4"/>
  <c r="H238" i="4"/>
  <c r="C214" i="4"/>
  <c r="B214" i="4"/>
  <c r="B213" i="4"/>
  <c r="C213" i="4"/>
  <c r="B212" i="4"/>
  <c r="C212" i="4"/>
  <c r="B211" i="4"/>
  <c r="C211" i="4"/>
  <c r="C210" i="4"/>
  <c r="B210" i="4"/>
  <c r="C209" i="4"/>
  <c r="B209" i="4"/>
  <c r="C208" i="4"/>
  <c r="B208" i="4"/>
  <c r="C207" i="4"/>
  <c r="B207" i="4"/>
  <c r="C206" i="4"/>
  <c r="B206" i="4"/>
  <c r="C205" i="4"/>
  <c r="B205" i="4"/>
  <c r="C203" i="4"/>
  <c r="B203" i="4"/>
  <c r="B204" i="4"/>
  <c r="C204" i="4"/>
  <c r="C202" i="4"/>
  <c r="B202" i="4"/>
  <c r="G182" i="4"/>
  <c r="C169" i="4"/>
  <c r="C170" i="4" s="1"/>
  <c r="C171" i="4" s="1"/>
  <c r="C172" i="4" s="1"/>
  <c r="C173" i="4" s="1"/>
  <c r="G181" i="4"/>
  <c r="U178" i="4"/>
  <c r="U179" i="4" s="1"/>
  <c r="U180" i="4" s="1"/>
  <c r="S178" i="4"/>
  <c r="S179" i="4"/>
  <c r="S180" i="4" s="1"/>
  <c r="Q178" i="4"/>
  <c r="Q179" i="4" s="1"/>
  <c r="Q180" i="4" s="1"/>
  <c r="O178" i="4"/>
  <c r="O179" i="4"/>
  <c r="O180" i="4" s="1"/>
  <c r="I178" i="4"/>
  <c r="I179" i="4" s="1"/>
  <c r="I180" i="4" s="1"/>
  <c r="G180" i="4"/>
  <c r="M178" i="4"/>
  <c r="M179" i="4" s="1"/>
  <c r="G179" i="4"/>
  <c r="G178" i="4"/>
  <c r="G177" i="4"/>
  <c r="G176" i="4"/>
  <c r="U169" i="4"/>
  <c r="U170" i="4" s="1"/>
  <c r="U171" i="4" s="1"/>
  <c r="U172" i="4" s="1"/>
  <c r="U173" i="4" s="1"/>
  <c r="U174" i="4" s="1"/>
  <c r="U175" i="4" s="1"/>
  <c r="S173" i="4"/>
  <c r="S174" i="4"/>
  <c r="S175" i="4" s="1"/>
  <c r="O170" i="4"/>
  <c r="O171" i="4" s="1"/>
  <c r="O172" i="4" s="1"/>
  <c r="O173" i="4" s="1"/>
  <c r="O174" i="4" s="1"/>
  <c r="O175" i="4" s="1"/>
  <c r="M169" i="4"/>
  <c r="M170" i="4" s="1"/>
  <c r="M171" i="4" s="1"/>
  <c r="M172" i="4" s="1"/>
  <c r="M173" i="4" s="1"/>
  <c r="M174" i="4" s="1"/>
  <c r="M175" i="4" s="1"/>
  <c r="I169" i="4"/>
  <c r="I170" i="4"/>
  <c r="I171" i="4" s="1"/>
  <c r="I172" i="4" s="1"/>
  <c r="I173" i="4" s="1"/>
  <c r="I174" i="4" s="1"/>
  <c r="I175" i="4" s="1"/>
  <c r="G175" i="4"/>
  <c r="S169" i="4"/>
  <c r="S170" i="4"/>
  <c r="S171" i="4" s="1"/>
  <c r="S172" i="4" s="1"/>
  <c r="Q169" i="4"/>
  <c r="Q170" i="4"/>
  <c r="Q171" i="4" s="1"/>
  <c r="Q172" i="4" s="1"/>
  <c r="Q173" i="4" s="1"/>
  <c r="Q174" i="4" s="1"/>
  <c r="G174" i="4"/>
  <c r="E169" i="4"/>
  <c r="E170" i="4" s="1"/>
  <c r="E171" i="4" s="1"/>
  <c r="E172" i="4" s="1"/>
  <c r="E173" i="4" s="1"/>
  <c r="G173" i="4"/>
  <c r="G172" i="4"/>
  <c r="G171" i="4"/>
  <c r="G170" i="4"/>
  <c r="G169" i="4"/>
  <c r="U167" i="4"/>
  <c r="U168" i="4" s="1"/>
  <c r="Q167" i="4"/>
  <c r="Q168" i="4" s="1"/>
  <c r="M167" i="4"/>
  <c r="M168" i="4" s="1"/>
  <c r="C167" i="4"/>
  <c r="C168" i="4" s="1"/>
  <c r="O166" i="4"/>
  <c r="S166" i="4"/>
  <c r="I167" i="4"/>
  <c r="E167" i="4"/>
  <c r="C155" i="4"/>
  <c r="B155" i="4"/>
  <c r="B7" i="4"/>
  <c r="C7" i="4"/>
  <c r="B8" i="4"/>
  <c r="E8" i="4"/>
  <c r="I8" i="4"/>
  <c r="M8" i="4"/>
  <c r="C8" i="4" s="1"/>
  <c r="O8" i="4"/>
  <c r="S8" i="4"/>
  <c r="U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D122" i="4"/>
  <c r="B122" i="4" s="1"/>
  <c r="F122" i="4"/>
  <c r="H122" i="4"/>
  <c r="J122" i="4"/>
  <c r="L122" i="4"/>
  <c r="N122" i="4"/>
  <c r="P122" i="4"/>
  <c r="R122" i="4"/>
  <c r="T122" i="4"/>
  <c r="E122" i="4"/>
  <c r="C122" i="4" s="1"/>
  <c r="G122" i="4"/>
  <c r="I122" i="4"/>
  <c r="K122" i="4"/>
  <c r="M122" i="4"/>
  <c r="O122" i="4"/>
  <c r="Q122" i="4"/>
  <c r="S122" i="4"/>
  <c r="U122" i="4"/>
  <c r="D123" i="4"/>
  <c r="B123" i="4" s="1"/>
  <c r="F123" i="4"/>
  <c r="H123" i="4"/>
  <c r="J123" i="4"/>
  <c r="L123" i="4"/>
  <c r="N123" i="4"/>
  <c r="P123" i="4"/>
  <c r="R123" i="4"/>
  <c r="T123" i="4"/>
  <c r="E123" i="4"/>
  <c r="C123" i="4" s="1"/>
  <c r="G123" i="4"/>
  <c r="I123" i="4"/>
  <c r="K123" i="4"/>
  <c r="M123" i="4"/>
  <c r="O123" i="4"/>
  <c r="Q123" i="4"/>
  <c r="S123" i="4"/>
  <c r="U123" i="4"/>
  <c r="D124" i="4"/>
  <c r="B124" i="4" s="1"/>
  <c r="F124" i="4"/>
  <c r="H124" i="4"/>
  <c r="J124" i="4"/>
  <c r="L124" i="4"/>
  <c r="N124" i="4"/>
  <c r="P124" i="4"/>
  <c r="R124" i="4"/>
  <c r="T124" i="4"/>
  <c r="E124" i="4"/>
  <c r="C124" i="4" s="1"/>
  <c r="G124" i="4"/>
  <c r="I124" i="4"/>
  <c r="K124" i="4"/>
  <c r="M124" i="4"/>
  <c r="O124" i="4"/>
  <c r="Q124" i="4"/>
  <c r="S124" i="4"/>
  <c r="U124" i="4"/>
  <c r="D125" i="4"/>
  <c r="F125" i="4"/>
  <c r="H125" i="4"/>
  <c r="J125" i="4"/>
  <c r="L125" i="4"/>
  <c r="N125" i="4"/>
  <c r="P125" i="4"/>
  <c r="R125" i="4"/>
  <c r="B125" i="4" s="1"/>
  <c r="T125" i="4"/>
  <c r="E125" i="4"/>
  <c r="C125" i="4" s="1"/>
  <c r="G125" i="4"/>
  <c r="I125" i="4"/>
  <c r="K125" i="4"/>
  <c r="M125" i="4"/>
  <c r="O125" i="4"/>
  <c r="Q125" i="4"/>
  <c r="S125" i="4"/>
  <c r="U125" i="4"/>
  <c r="D126" i="4"/>
  <c r="F126" i="4"/>
  <c r="H126" i="4"/>
  <c r="J126" i="4"/>
  <c r="B126" i="4"/>
  <c r="L126" i="4"/>
  <c r="N126" i="4"/>
  <c r="P126" i="4"/>
  <c r="R126" i="4"/>
  <c r="T126" i="4"/>
  <c r="E126" i="4"/>
  <c r="C126" i="4" s="1"/>
  <c r="G126" i="4"/>
  <c r="I126" i="4"/>
  <c r="K126" i="4"/>
  <c r="M126" i="4"/>
  <c r="O126" i="4"/>
  <c r="Q126" i="4"/>
  <c r="S126" i="4"/>
  <c r="U126" i="4"/>
  <c r="D127" i="4"/>
  <c r="F127" i="4"/>
  <c r="H127" i="4"/>
  <c r="J127" i="4"/>
  <c r="L127" i="4"/>
  <c r="N127" i="4"/>
  <c r="P127" i="4"/>
  <c r="R127" i="4"/>
  <c r="B127" i="4" s="1"/>
  <c r="T127" i="4"/>
  <c r="E127" i="4"/>
  <c r="C127" i="4" s="1"/>
  <c r="G127" i="4"/>
  <c r="I127" i="4"/>
  <c r="K127" i="4"/>
  <c r="M127" i="4"/>
  <c r="O127" i="4"/>
  <c r="Q127" i="4"/>
  <c r="S127" i="4"/>
  <c r="U127" i="4"/>
  <c r="D128" i="4"/>
  <c r="F128" i="4"/>
  <c r="H128" i="4"/>
  <c r="J128" i="4"/>
  <c r="L128" i="4"/>
  <c r="N128" i="4"/>
  <c r="P128" i="4"/>
  <c r="R128" i="4"/>
  <c r="B128" i="4" s="1"/>
  <c r="T128" i="4"/>
  <c r="E128" i="4"/>
  <c r="C128" i="4" s="1"/>
  <c r="G128" i="4"/>
  <c r="I128" i="4"/>
  <c r="K128" i="4"/>
  <c r="M128" i="4"/>
  <c r="O128" i="4"/>
  <c r="Q128" i="4"/>
  <c r="S128" i="4"/>
  <c r="U128" i="4"/>
  <c r="D129" i="4"/>
  <c r="F129" i="4"/>
  <c r="H129" i="4"/>
  <c r="J129" i="4"/>
  <c r="L129" i="4"/>
  <c r="N129" i="4"/>
  <c r="P129" i="4"/>
  <c r="R129" i="4"/>
  <c r="B129" i="4" s="1"/>
  <c r="T129" i="4"/>
  <c r="E129" i="4"/>
  <c r="G129" i="4"/>
  <c r="I129" i="4"/>
  <c r="K129" i="4"/>
  <c r="M129" i="4"/>
  <c r="O129" i="4"/>
  <c r="C129" i="4" s="1"/>
  <c r="Q129" i="4"/>
  <c r="S129" i="4"/>
  <c r="U129" i="4"/>
  <c r="D130" i="4"/>
  <c r="F130" i="4"/>
  <c r="H130" i="4"/>
  <c r="J130" i="4"/>
  <c r="L130" i="4"/>
  <c r="N130" i="4"/>
  <c r="P130" i="4"/>
  <c r="R130" i="4"/>
  <c r="B130" i="4" s="1"/>
  <c r="T130" i="4"/>
  <c r="E130" i="4"/>
  <c r="C130" i="4" s="1"/>
  <c r="G130" i="4"/>
  <c r="I130" i="4"/>
  <c r="K130" i="4"/>
  <c r="M130" i="4"/>
  <c r="O130" i="4"/>
  <c r="Q130" i="4"/>
  <c r="S130" i="4"/>
  <c r="U130" i="4"/>
  <c r="D131" i="4"/>
  <c r="B131" i="4" s="1"/>
  <c r="F131" i="4"/>
  <c r="H131" i="4"/>
  <c r="J131" i="4"/>
  <c r="L131" i="4"/>
  <c r="N131" i="4"/>
  <c r="P131" i="4"/>
  <c r="R131" i="4"/>
  <c r="T131" i="4"/>
  <c r="E131" i="4"/>
  <c r="C131" i="4" s="1"/>
  <c r="G131" i="4"/>
  <c r="I131" i="4"/>
  <c r="K131" i="4"/>
  <c r="M131" i="4"/>
  <c r="O131" i="4"/>
  <c r="Q131" i="4"/>
  <c r="S131" i="4"/>
  <c r="U131" i="4"/>
  <c r="D132" i="4"/>
  <c r="B132" i="4" s="1"/>
  <c r="F132" i="4"/>
  <c r="H132" i="4"/>
  <c r="J132" i="4"/>
  <c r="L132" i="4"/>
  <c r="N132" i="4"/>
  <c r="P132" i="4"/>
  <c r="R132" i="4"/>
  <c r="T132" i="4"/>
  <c r="E132" i="4"/>
  <c r="C132" i="4" s="1"/>
  <c r="G132" i="4"/>
  <c r="I132" i="4"/>
  <c r="K132" i="4"/>
  <c r="M132" i="4"/>
  <c r="O132" i="4"/>
  <c r="Q132" i="4"/>
  <c r="S132" i="4"/>
  <c r="U132" i="4"/>
  <c r="B133" i="4"/>
  <c r="C133" i="4"/>
  <c r="D134" i="4"/>
  <c r="F134" i="4"/>
  <c r="H134" i="4"/>
  <c r="L134" i="4"/>
  <c r="N134" i="4"/>
  <c r="P134" i="4"/>
  <c r="B134" i="4" s="1"/>
  <c r="R134" i="4"/>
  <c r="T134" i="4"/>
  <c r="E134" i="4"/>
  <c r="G134" i="4"/>
  <c r="I134" i="4"/>
  <c r="M134" i="4"/>
  <c r="O134" i="4"/>
  <c r="C134" i="4" s="1"/>
  <c r="Q134" i="4"/>
  <c r="S134" i="4"/>
  <c r="U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D142" i="4"/>
  <c r="B142" i="4" s="1"/>
  <c r="H142" i="4"/>
  <c r="I142" i="4" s="1"/>
  <c r="I143" i="4" s="1"/>
  <c r="I144" i="4" s="1"/>
  <c r="L142" i="4"/>
  <c r="P142" i="4"/>
  <c r="Q142" i="4"/>
  <c r="Q143" i="4" s="1"/>
  <c r="Q144" i="4" s="1"/>
  <c r="T142" i="4"/>
  <c r="U142" i="4"/>
  <c r="G142" i="4"/>
  <c r="M142" i="4"/>
  <c r="O142" i="4"/>
  <c r="S142" i="4"/>
  <c r="S143" i="4" s="1"/>
  <c r="S144" i="4" s="1"/>
  <c r="O143" i="4"/>
  <c r="B143" i="4"/>
  <c r="M144" i="4"/>
  <c r="O144" i="4"/>
  <c r="U144" i="4"/>
  <c r="B144" i="4"/>
  <c r="B145" i="4"/>
  <c r="C145" i="4"/>
  <c r="B146" i="4"/>
  <c r="E146" i="4"/>
  <c r="G146" i="4"/>
  <c r="C146" i="4"/>
  <c r="I146" i="4"/>
  <c r="Q146" i="4"/>
  <c r="Q147" i="4" s="1"/>
  <c r="Q148" i="4" s="1"/>
  <c r="Q149" i="4" s="1"/>
  <c r="Q150" i="4" s="1"/>
  <c r="Q151" i="4" s="1"/>
  <c r="Q152" i="4" s="1"/>
  <c r="Q153" i="4" s="1"/>
  <c r="S146" i="4"/>
  <c r="S147" i="4" s="1"/>
  <c r="S148" i="4" s="1"/>
  <c r="S149" i="4" s="1"/>
  <c r="S150" i="4" s="1"/>
  <c r="S151" i="4" s="1"/>
  <c r="S152" i="4" s="1"/>
  <c r="S153" i="4" s="1"/>
  <c r="U146" i="4"/>
  <c r="U147" i="4"/>
  <c r="U148" i="4" s="1"/>
  <c r="I147" i="4"/>
  <c r="B147" i="4"/>
  <c r="M147" i="4"/>
  <c r="B148" i="4"/>
  <c r="G148" i="4"/>
  <c r="B149" i="4"/>
  <c r="M149" i="4"/>
  <c r="M150" i="4"/>
  <c r="M151" i="4" s="1"/>
  <c r="M152" i="4" s="1"/>
  <c r="M153" i="4" s="1"/>
  <c r="O149" i="4"/>
  <c r="O150" i="4" s="1"/>
  <c r="O151" i="4" s="1"/>
  <c r="O152" i="4" s="1"/>
  <c r="O153" i="4" s="1"/>
  <c r="B150" i="4"/>
  <c r="G150" i="4"/>
  <c r="G151" i="4" s="1"/>
  <c r="G152" i="4" s="1"/>
  <c r="G153" i="4" s="1"/>
  <c r="B151" i="4"/>
  <c r="U151" i="4"/>
  <c r="B152" i="4"/>
  <c r="U152" i="4"/>
  <c r="U153" i="4"/>
  <c r="B153" i="4"/>
  <c r="I148" i="4"/>
  <c r="I149" i="4" s="1"/>
  <c r="I150" i="4" s="1"/>
  <c r="I151" i="4" s="1"/>
  <c r="I152" i="4" s="1"/>
  <c r="I153" i="4" s="1"/>
  <c r="E147" i="4"/>
  <c r="E148" i="4" s="1"/>
  <c r="G143" i="4"/>
  <c r="G144" i="4" s="1"/>
  <c r="C148" i="4" l="1"/>
  <c r="E149" i="4"/>
  <c r="C147" i="4"/>
  <c r="E142" i="4"/>
  <c r="C142" i="4" l="1"/>
  <c r="E143" i="4"/>
  <c r="E150" i="4"/>
  <c r="C149" i="4"/>
  <c r="C150" i="4" l="1"/>
  <c r="E151" i="4"/>
  <c r="C143" i="4"/>
  <c r="E144" i="4"/>
  <c r="C144" i="4" s="1"/>
  <c r="E152" i="4" l="1"/>
  <c r="C151" i="4"/>
  <c r="C152" i="4" l="1"/>
  <c r="E153" i="4"/>
  <c r="C153" i="4" s="1"/>
</calcChain>
</file>

<file path=xl/sharedStrings.xml><?xml version="1.0" encoding="utf-8"?>
<sst xmlns="http://schemas.openxmlformats.org/spreadsheetml/2006/main" count="109" uniqueCount="29">
  <si>
    <t>三、歲入實收數</t>
    <phoneticPr fontId="4" type="noConversion"/>
  </si>
  <si>
    <t>　　　單位：千元</t>
    <phoneticPr fontId="4" type="noConversion"/>
  </si>
  <si>
    <t>年月別</t>
    <phoneticPr fontId="4" type="noConversion"/>
  </si>
  <si>
    <t>總　計</t>
    <phoneticPr fontId="4" type="noConversion"/>
  </si>
  <si>
    <r>
      <t>捐獻及贈與
收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  <charset val="136"/>
      </rPr>
      <t>入</t>
    </r>
    <phoneticPr fontId="4" type="noConversion"/>
  </si>
  <si>
    <r>
      <t>信託管理
收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  <charset val="136"/>
      </rPr>
      <t>入</t>
    </r>
    <phoneticPr fontId="2" type="noConversion"/>
  </si>
  <si>
    <t>財產收入</t>
    <phoneticPr fontId="4" type="noConversion"/>
  </si>
  <si>
    <r>
      <t xml:space="preserve"> </t>
    </r>
    <r>
      <rPr>
        <sz val="11"/>
        <rFont val="標楷體"/>
        <family val="4"/>
        <charset val="136"/>
      </rPr>
      <t>營業盈餘及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  <charset val="136"/>
      </rPr>
      <t>事業收入</t>
    </r>
    <phoneticPr fontId="4" type="noConversion"/>
  </si>
  <si>
    <t>自治稅捐收入</t>
    <phoneticPr fontId="2" type="noConversion"/>
  </si>
  <si>
    <t>其他收入</t>
    <phoneticPr fontId="4" type="noConversion"/>
  </si>
  <si>
    <r>
      <t>補助及協助</t>
    </r>
    <r>
      <rPr>
        <sz val="11"/>
        <rFont val="標楷體"/>
        <family val="4"/>
        <charset val="136"/>
      </rPr>
      <t>收</t>
    </r>
    <r>
      <rPr>
        <sz val="11"/>
        <rFont val="標楷體"/>
        <family val="4"/>
        <charset val="136"/>
      </rPr>
      <t>入</t>
    </r>
    <phoneticPr fontId="4" type="noConversion"/>
  </si>
  <si>
    <t xml:space="preserve"> </t>
    <phoneticPr fontId="4" type="noConversion"/>
  </si>
  <si>
    <r>
      <t>本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月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實收數</t>
    </r>
    <phoneticPr fontId="4" type="noConversion"/>
  </si>
  <si>
    <t>累  計        實收數</t>
    <phoneticPr fontId="4" type="noConversion"/>
  </si>
  <si>
    <t>累  計       實收數</t>
    <phoneticPr fontId="4" type="noConversion"/>
  </si>
  <si>
    <r>
      <t>本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  <charset val="136"/>
      </rPr>
      <t>實收數</t>
    </r>
    <phoneticPr fontId="4" type="noConversion"/>
  </si>
  <si>
    <t>累  計                實收數</t>
    <phoneticPr fontId="4" type="noConversion"/>
  </si>
  <si>
    <t>本  月         實收數</t>
    <phoneticPr fontId="4" type="noConversion"/>
  </si>
  <si>
    <t>本  月        實收數</t>
    <phoneticPr fontId="4" type="noConversion"/>
  </si>
  <si>
    <t>累  計   實收數</t>
    <phoneticPr fontId="4" type="noConversion"/>
  </si>
  <si>
    <t>本  月   實收數</t>
    <phoneticPr fontId="4" type="noConversion"/>
  </si>
  <si>
    <t>本  月實收數</t>
    <phoneticPr fontId="2" type="noConversion"/>
  </si>
  <si>
    <t>累  計實收數</t>
    <phoneticPr fontId="2" type="noConversion"/>
  </si>
  <si>
    <t>-</t>
    <phoneticPr fontId="2" type="noConversion"/>
  </si>
  <si>
    <r>
      <t>其他收入含信託管理</t>
    </r>
    <r>
      <rPr>
        <sz val="9"/>
        <rFont val="Times New Roman"/>
        <family val="1"/>
      </rPr>
      <t>294</t>
    </r>
    <r>
      <rPr>
        <sz val="9"/>
        <rFont val="標楷體"/>
        <family val="4"/>
        <charset val="136"/>
      </rPr>
      <t>千元</t>
    </r>
    <phoneticPr fontId="2" type="noConversion"/>
  </si>
  <si>
    <t>…</t>
    <phoneticPr fontId="2" type="noConversion"/>
  </si>
  <si>
    <t>稅課收入</t>
    <phoneticPr fontId="4" type="noConversion"/>
  </si>
  <si>
    <r>
      <t>本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月</t>
    </r>
    <r>
      <rPr>
        <sz val="11"/>
        <rFont val="Times New Roman"/>
        <family val="1"/>
      </rPr>
      <t xml:space="preserve">  
</t>
    </r>
    <r>
      <rPr>
        <sz val="11"/>
        <rFont val="標楷體"/>
        <family val="4"/>
        <charset val="136"/>
      </rPr>
      <t>實收數</t>
    </r>
    <phoneticPr fontId="4" type="noConversion"/>
  </si>
  <si>
    <r>
      <t xml:space="preserve">規費及罰鍰
</t>
    </r>
    <r>
      <rPr>
        <sz val="11"/>
        <rFont val="標楷體"/>
        <family val="4"/>
        <charset val="136"/>
      </rPr>
      <t>收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  <charset val="136"/>
      </rPr>
      <t>入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</si>
</sst>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_-* #,##0_-;\-* #,##0_-;_-* &quot;-&quot;_-"/>
    <numFmt numFmtId="179" formatCode="0_);[Red]\(0\)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8"/>
      <name val="Times New Roman"/>
      <family val="1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5" applyFont="1" applyBorder="1"/>
    <xf numFmtId="0" fontId="5" fillId="0" borderId="0" xfId="5" applyFont="1" applyBorder="1"/>
    <xf numFmtId="0" fontId="1" fillId="0" borderId="0" xfId="5"/>
    <xf numFmtId="0" fontId="8" fillId="0" borderId="0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176" fontId="8" fillId="0" borderId="1" xfId="6" applyNumberFormat="1" applyFont="1" applyBorder="1" applyAlignment="1">
      <alignment horizontal="center" vertical="center" wrapText="1"/>
    </xf>
    <xf numFmtId="176" fontId="8" fillId="0" borderId="2" xfId="6" applyNumberFormat="1" applyFont="1" applyBorder="1" applyAlignment="1">
      <alignment horizontal="center" vertical="center" wrapText="1"/>
    </xf>
    <xf numFmtId="176" fontId="8" fillId="0" borderId="3" xfId="6" applyNumberFormat="1" applyFont="1" applyBorder="1" applyAlignment="1">
      <alignment horizontal="center" vertical="center" wrapText="1"/>
    </xf>
    <xf numFmtId="176" fontId="8" fillId="0" borderId="0" xfId="6" applyNumberFormat="1" applyFont="1" applyBorder="1" applyAlignment="1">
      <alignment horizontal="center" vertical="center" wrapText="1"/>
    </xf>
    <xf numFmtId="176" fontId="1" fillId="0" borderId="0" xfId="6" applyNumberFormat="1" applyFont="1" applyAlignment="1"/>
    <xf numFmtId="176" fontId="8" fillId="0" borderId="1" xfId="6" applyNumberFormat="1" applyFont="1" applyBorder="1" applyAlignment="1">
      <alignment horizontal="right" vertical="center" wrapText="1"/>
    </xf>
    <xf numFmtId="176" fontId="8" fillId="0" borderId="2" xfId="6" applyNumberFormat="1" applyFont="1" applyBorder="1" applyAlignment="1">
      <alignment horizontal="right" vertical="center" wrapText="1"/>
    </xf>
    <xf numFmtId="43" fontId="8" fillId="0" borderId="2" xfId="6" applyFont="1" applyBorder="1" applyAlignment="1">
      <alignment horizontal="right" vertical="center" wrapText="1"/>
    </xf>
    <xf numFmtId="176" fontId="8" fillId="0" borderId="3" xfId="6" applyNumberFormat="1" applyFont="1" applyBorder="1" applyAlignment="1">
      <alignment horizontal="right" vertical="center" wrapText="1"/>
    </xf>
    <xf numFmtId="176" fontId="8" fillId="0" borderId="0" xfId="6" applyNumberFormat="1" applyFont="1" applyBorder="1" applyAlignment="1">
      <alignment horizontal="right" vertical="center" wrapText="1"/>
    </xf>
    <xf numFmtId="176" fontId="12" fillId="0" borderId="0" xfId="6" applyNumberFormat="1" applyFont="1" applyAlignment="1">
      <alignment horizontal="right" vertical="center"/>
    </xf>
    <xf numFmtId="0" fontId="12" fillId="0" borderId="0" xfId="5" applyFont="1"/>
    <xf numFmtId="0" fontId="8" fillId="0" borderId="0" xfId="5" applyFont="1"/>
    <xf numFmtId="0" fontId="8" fillId="0" borderId="2" xfId="5" applyFont="1" applyBorder="1" applyAlignment="1">
      <alignment horizontal="right" vertical="center" wrapText="1"/>
    </xf>
    <xf numFmtId="0" fontId="6" fillId="0" borderId="0" xfId="5" applyFont="1" applyBorder="1" applyAlignment="1">
      <alignment horizontal="center" vertical="center" wrapText="1"/>
    </xf>
    <xf numFmtId="176" fontId="8" fillId="0" borderId="2" xfId="6" applyNumberFormat="1" applyFont="1" applyBorder="1" applyAlignment="1"/>
    <xf numFmtId="176" fontId="8" fillId="0" borderId="0" xfId="6" applyNumberFormat="1" applyFont="1" applyBorder="1" applyAlignment="1"/>
    <xf numFmtId="0" fontId="13" fillId="0" borderId="0" xfId="5" applyFont="1" applyBorder="1"/>
    <xf numFmtId="0" fontId="8" fillId="0" borderId="0" xfId="5" applyFont="1" applyAlignment="1">
      <alignment horizontal="center"/>
    </xf>
    <xf numFmtId="176" fontId="8" fillId="0" borderId="0" xfId="6" applyNumberFormat="1" applyFont="1" applyAlignment="1"/>
    <xf numFmtId="43" fontId="8" fillId="0" borderId="2" xfId="6" applyFont="1" applyBorder="1" applyAlignment="1">
      <alignment horizontal="right"/>
    </xf>
    <xf numFmtId="43" fontId="8" fillId="0" borderId="0" xfId="6" applyFont="1" applyAlignment="1">
      <alignment horizontal="right"/>
    </xf>
    <xf numFmtId="176" fontId="8" fillId="0" borderId="2" xfId="6" applyNumberFormat="1" applyFont="1" applyBorder="1" applyAlignment="1">
      <alignment horizontal="right"/>
    </xf>
    <xf numFmtId="176" fontId="8" fillId="0" borderId="0" xfId="6" applyNumberFormat="1" applyFont="1" applyAlignment="1">
      <alignment horizontal="right"/>
    </xf>
    <xf numFmtId="176" fontId="8" fillId="0" borderId="3" xfId="6" applyNumberFormat="1" applyFont="1" applyBorder="1" applyAlignment="1"/>
    <xf numFmtId="178" fontId="8" fillId="0" borderId="2" xfId="6" applyNumberFormat="1" applyFont="1" applyBorder="1" applyAlignment="1">
      <alignment horizontal="right"/>
    </xf>
    <xf numFmtId="0" fontId="15" fillId="0" borderId="0" xfId="5" applyFont="1"/>
    <xf numFmtId="41" fontId="8" fillId="0" borderId="2" xfId="6" applyNumberFormat="1" applyFont="1" applyBorder="1" applyAlignment="1"/>
    <xf numFmtId="41" fontId="8" fillId="0" borderId="0" xfId="6" applyNumberFormat="1" applyFont="1" applyAlignment="1"/>
    <xf numFmtId="41" fontId="8" fillId="0" borderId="2" xfId="6" applyNumberFormat="1" applyFont="1" applyBorder="1" applyAlignment="1">
      <alignment horizontal="right"/>
    </xf>
    <xf numFmtId="0" fontId="8" fillId="0" borderId="1" xfId="5" applyFont="1" applyFill="1" applyBorder="1" applyAlignment="1">
      <alignment horizontal="center" vertical="center"/>
    </xf>
    <xf numFmtId="176" fontId="8" fillId="0" borderId="0" xfId="6" applyNumberFormat="1" applyFont="1" applyFill="1" applyBorder="1" applyAlignment="1">
      <alignment horizontal="right" vertical="center" wrapText="1"/>
    </xf>
    <xf numFmtId="179" fontId="8" fillId="0" borderId="2" xfId="6" applyNumberFormat="1" applyFont="1" applyBorder="1" applyAlignment="1">
      <alignment horizontal="right" vertical="center" wrapText="1"/>
    </xf>
    <xf numFmtId="176" fontId="8" fillId="0" borderId="3" xfId="6" applyNumberFormat="1" applyFont="1" applyFill="1" applyBorder="1" applyAlignment="1">
      <alignment horizontal="right" vertical="center" wrapText="1"/>
    </xf>
    <xf numFmtId="176" fontId="8" fillId="0" borderId="2" xfId="6" applyNumberFormat="1" applyFont="1" applyFill="1" applyBorder="1" applyAlignment="1">
      <alignment horizontal="right" vertical="center" wrapText="1"/>
    </xf>
    <xf numFmtId="0" fontId="1" fillId="0" borderId="0" xfId="5" applyFill="1"/>
    <xf numFmtId="0" fontId="17" fillId="0" borderId="0" xfId="5" applyFont="1" applyFill="1"/>
    <xf numFmtId="176" fontId="17" fillId="0" borderId="0" xfId="6" applyNumberFormat="1" applyFont="1" applyFill="1" applyAlignment="1"/>
    <xf numFmtId="0" fontId="8" fillId="0" borderId="1" xfId="0" applyFont="1" applyFill="1" applyBorder="1" applyAlignment="1">
      <alignment horizontal="center" vertical="center"/>
    </xf>
    <xf numFmtId="176" fontId="16" fillId="0" borderId="2" xfId="6" applyNumberFormat="1" applyFont="1" applyFill="1" applyBorder="1" applyAlignment="1">
      <alignment horizontal="right" vertical="center" wrapText="1"/>
    </xf>
    <xf numFmtId="176" fontId="16" fillId="0" borderId="3" xfId="6" applyNumberFormat="1" applyFont="1" applyFill="1" applyBorder="1" applyAlignment="1">
      <alignment horizontal="right" vertical="center" wrapText="1"/>
    </xf>
    <xf numFmtId="176" fontId="16" fillId="0" borderId="0" xfId="6" applyNumberFormat="1" applyFont="1" applyFill="1" applyAlignment="1">
      <alignment horizontal="right" vertical="center" wrapText="1"/>
    </xf>
    <xf numFmtId="176" fontId="17" fillId="0" borderId="2" xfId="6" applyNumberFormat="1" applyFont="1" applyFill="1" applyBorder="1" applyAlignment="1">
      <alignment horizontal="right" vertical="center" wrapText="1"/>
    </xf>
    <xf numFmtId="176" fontId="17" fillId="0" borderId="1" xfId="6" applyNumberFormat="1" applyFont="1" applyFill="1" applyBorder="1" applyAlignment="1">
      <alignment horizontal="right" vertical="center" wrapText="1"/>
    </xf>
    <xf numFmtId="176" fontId="17" fillId="0" borderId="3" xfId="6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/>
    </xf>
    <xf numFmtId="176" fontId="8" fillId="0" borderId="5" xfId="6" applyNumberFormat="1" applyFont="1" applyFill="1" applyBorder="1" applyAlignment="1">
      <alignment horizontal="right" vertical="center" wrapText="1"/>
    </xf>
    <xf numFmtId="176" fontId="17" fillId="0" borderId="5" xfId="6" applyNumberFormat="1" applyFont="1" applyFill="1" applyBorder="1" applyAlignment="1">
      <alignment horizontal="right" vertical="center" wrapText="1"/>
    </xf>
    <xf numFmtId="176" fontId="17" fillId="0" borderId="6" xfId="6" applyNumberFormat="1" applyFont="1" applyFill="1" applyBorder="1" applyAlignment="1">
      <alignment horizontal="right" vertical="center" wrapText="1"/>
    </xf>
    <xf numFmtId="0" fontId="18" fillId="0" borderId="0" xfId="5" applyFont="1" applyBorder="1"/>
    <xf numFmtId="0" fontId="1" fillId="0" borderId="0" xfId="5" applyBorder="1"/>
    <xf numFmtId="3" fontId="8" fillId="0" borderId="5" xfId="6" applyNumberFormat="1" applyFont="1" applyFill="1" applyBorder="1" applyAlignment="1">
      <alignment horizontal="right" vertical="center" wrapText="1"/>
    </xf>
    <xf numFmtId="3" fontId="17" fillId="0" borderId="5" xfId="6" applyNumberFormat="1" applyFont="1" applyFill="1" applyBorder="1" applyAlignment="1">
      <alignment horizontal="right" vertical="center" wrapText="1"/>
    </xf>
    <xf numFmtId="3" fontId="17" fillId="0" borderId="2" xfId="6" applyNumberFormat="1" applyFont="1" applyFill="1" applyBorder="1" applyAlignment="1">
      <alignment horizontal="right" vertical="center" wrapText="1"/>
    </xf>
    <xf numFmtId="3" fontId="8" fillId="0" borderId="2" xfId="6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176" fontId="8" fillId="0" borderId="1" xfId="6" applyNumberFormat="1" applyFont="1" applyFill="1" applyBorder="1" applyAlignment="1">
      <alignment horizontal="right" vertical="center" wrapText="1"/>
    </xf>
    <xf numFmtId="177" fontId="17" fillId="0" borderId="2" xfId="6" applyNumberFormat="1" applyFont="1" applyFill="1" applyBorder="1" applyAlignment="1">
      <alignment horizontal="right" vertical="center" wrapText="1"/>
    </xf>
    <xf numFmtId="0" fontId="1" fillId="0" borderId="7" xfId="5" applyBorder="1"/>
    <xf numFmtId="43" fontId="17" fillId="0" borderId="2" xfId="6" applyNumberFormat="1" applyFont="1" applyFill="1" applyBorder="1" applyAlignment="1">
      <alignment horizontal="right" vertical="center" wrapText="1"/>
    </xf>
    <xf numFmtId="177" fontId="17" fillId="0" borderId="5" xfId="6" applyNumberFormat="1" applyFont="1" applyFill="1" applyBorder="1" applyAlignment="1">
      <alignment horizontal="right" vertical="center" wrapText="1"/>
    </xf>
    <xf numFmtId="41" fontId="17" fillId="0" borderId="2" xfId="6" applyNumberFormat="1" applyFont="1" applyFill="1" applyBorder="1" applyAlignment="1">
      <alignment horizontal="right" vertical="center" wrapText="1"/>
    </xf>
    <xf numFmtId="41" fontId="17" fillId="0" borderId="5" xfId="6" applyNumberFormat="1" applyFont="1" applyFill="1" applyBorder="1" applyAlignment="1">
      <alignment horizontal="right" vertical="center" wrapText="1"/>
    </xf>
    <xf numFmtId="0" fontId="5" fillId="0" borderId="8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0" fontId="7" fillId="0" borderId="8" xfId="5" applyFont="1" applyBorder="1" applyAlignment="1">
      <alignment horizontal="center" vertical="center" wrapText="1"/>
    </xf>
    <xf numFmtId="0" fontId="7" fillId="0" borderId="11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 wrapText="1"/>
    </xf>
    <xf numFmtId="0" fontId="6" fillId="0" borderId="12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 wrapText="1"/>
    </xf>
    <xf numFmtId="0" fontId="6" fillId="0" borderId="13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10" fillId="0" borderId="13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6" fillId="0" borderId="8" xfId="5" applyFont="1" applyBorder="1" applyAlignment="1">
      <alignment horizontal="center" vertical="center" wrapText="1"/>
    </xf>
    <xf numFmtId="0" fontId="6" fillId="0" borderId="11" xfId="5" applyFont="1" applyBorder="1" applyAlignment="1">
      <alignment horizontal="center" vertical="center" wrapText="1"/>
    </xf>
    <xf numFmtId="0" fontId="6" fillId="0" borderId="9" xfId="5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center" wrapText="1"/>
    </xf>
    <xf numFmtId="0" fontId="6" fillId="0" borderId="14" xfId="5" applyFont="1" applyBorder="1" applyAlignment="1">
      <alignment horizontal="center" vertical="center" wrapText="1"/>
    </xf>
    <xf numFmtId="0" fontId="8" fillId="0" borderId="12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1" fillId="0" borderId="13" xfId="5" applyFont="1" applyBorder="1" applyAlignment="1">
      <alignment horizontal="center" vertical="center" wrapText="1"/>
    </xf>
  </cellXfs>
  <cellStyles count="7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0000000-0005-0000-0000-000003000000}"/>
    <cellStyle name="一般 5" xfId="4" xr:uid="{00000000-0005-0000-0000-000004000000}"/>
    <cellStyle name="一般_縣市重要統計資料--施政成果year-2 " xfId="5" xr:uid="{00000000-0005-0000-0000-000005000000}"/>
    <cellStyle name="千分位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V251"/>
  <sheetViews>
    <sheetView tabSelected="1" zoomScaleNormal="100" zoomScaleSheetLayoutView="100" workbookViewId="0">
      <pane ySplit="60" topLeftCell="A238" activePane="bottomLeft" state="frozen"/>
      <selection activeCell="C118" sqref="C118"/>
      <selection pane="bottomLeft" activeCell="I254" sqref="I254"/>
    </sheetView>
  </sheetViews>
  <sheetFormatPr defaultRowHeight="16.5"/>
  <cols>
    <col min="1" max="1" width="7.5" style="3" customWidth="1"/>
    <col min="2" max="2" width="12.125" style="3" customWidth="1"/>
    <col min="3" max="3" width="12.75" style="3" customWidth="1"/>
    <col min="4" max="4" width="9.125" style="3" customWidth="1"/>
    <col min="5" max="5" width="10.75" style="3" customWidth="1"/>
    <col min="6" max="6" width="8.125" style="3" customWidth="1"/>
    <col min="7" max="7" width="7.625" style="3" customWidth="1"/>
    <col min="8" max="8" width="9.375" style="3" customWidth="1"/>
    <col min="9" max="9" width="9.125" style="3" customWidth="1"/>
    <col min="10" max="10" width="5.875" style="3" customWidth="1"/>
    <col min="11" max="11" width="7.75" style="3" customWidth="1"/>
    <col min="12" max="12" width="8.625" style="3" customWidth="1"/>
    <col min="13" max="13" width="8.875" style="3" customWidth="1"/>
    <col min="14" max="14" width="7.625" style="3" customWidth="1"/>
    <col min="15" max="16" width="7.75" style="3" customWidth="1"/>
    <col min="17" max="17" width="8.125" style="3" customWidth="1"/>
    <col min="18" max="18" width="8" style="3" customWidth="1"/>
    <col min="19" max="19" width="9.125" style="3" customWidth="1"/>
    <col min="20" max="20" width="10" style="3" customWidth="1"/>
    <col min="21" max="22" width="10.25" style="3" customWidth="1"/>
    <col min="23" max="23" width="7.75" style="3" customWidth="1"/>
    <col min="24" max="16384" width="9" style="3"/>
  </cols>
  <sheetData>
    <row r="1" spans="1:136" ht="25.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136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1</v>
      </c>
      <c r="U2" s="2"/>
      <c r="V2" s="2"/>
      <c r="W2" s="2"/>
    </row>
    <row r="3" spans="1:136" ht="16.5" customHeight="1">
      <c r="A3" s="69" t="s">
        <v>2</v>
      </c>
      <c r="B3" s="72" t="s">
        <v>3</v>
      </c>
      <c r="C3" s="73"/>
      <c r="D3" s="76" t="s">
        <v>26</v>
      </c>
      <c r="E3" s="76"/>
      <c r="F3" s="78" t="s">
        <v>4</v>
      </c>
      <c r="G3" s="78"/>
      <c r="H3" s="72" t="s">
        <v>28</v>
      </c>
      <c r="I3" s="83"/>
      <c r="J3" s="72" t="s">
        <v>5</v>
      </c>
      <c r="K3" s="83"/>
      <c r="L3" s="78" t="s">
        <v>6</v>
      </c>
      <c r="M3" s="78"/>
      <c r="N3" s="88" t="s">
        <v>7</v>
      </c>
      <c r="O3" s="78"/>
      <c r="P3" s="72" t="s">
        <v>8</v>
      </c>
      <c r="Q3" s="83"/>
      <c r="R3" s="78" t="s">
        <v>9</v>
      </c>
      <c r="S3" s="78"/>
      <c r="T3" s="78" t="s">
        <v>10</v>
      </c>
      <c r="U3" s="72"/>
      <c r="V3" s="86" t="s">
        <v>11</v>
      </c>
      <c r="W3" s="86"/>
    </row>
    <row r="4" spans="1:136">
      <c r="A4" s="70"/>
      <c r="B4" s="74"/>
      <c r="C4" s="75"/>
      <c r="D4" s="77"/>
      <c r="E4" s="77"/>
      <c r="F4" s="79"/>
      <c r="G4" s="79"/>
      <c r="H4" s="84"/>
      <c r="I4" s="85"/>
      <c r="J4" s="84"/>
      <c r="K4" s="85"/>
      <c r="L4" s="79"/>
      <c r="M4" s="79"/>
      <c r="N4" s="79"/>
      <c r="O4" s="79"/>
      <c r="P4" s="84"/>
      <c r="Q4" s="85"/>
      <c r="R4" s="79"/>
      <c r="S4" s="79"/>
      <c r="T4" s="79"/>
      <c r="U4" s="84"/>
      <c r="V4" s="86"/>
      <c r="W4" s="86"/>
    </row>
    <row r="5" spans="1:136" ht="16.5" customHeight="1">
      <c r="A5" s="70"/>
      <c r="B5" s="82" t="s">
        <v>27</v>
      </c>
      <c r="C5" s="82" t="s">
        <v>13</v>
      </c>
      <c r="D5" s="82" t="s">
        <v>12</v>
      </c>
      <c r="E5" s="82" t="s">
        <v>14</v>
      </c>
      <c r="F5" s="80" t="s">
        <v>15</v>
      </c>
      <c r="G5" s="80" t="s">
        <v>16</v>
      </c>
      <c r="H5" s="82" t="s">
        <v>17</v>
      </c>
      <c r="I5" s="82" t="s">
        <v>13</v>
      </c>
      <c r="J5" s="80" t="s">
        <v>17</v>
      </c>
      <c r="K5" s="80" t="s">
        <v>13</v>
      </c>
      <c r="L5" s="82" t="s">
        <v>18</v>
      </c>
      <c r="M5" s="82" t="s">
        <v>19</v>
      </c>
      <c r="N5" s="90" t="s">
        <v>20</v>
      </c>
      <c r="O5" s="90" t="s">
        <v>19</v>
      </c>
      <c r="P5" s="87" t="s">
        <v>21</v>
      </c>
      <c r="Q5" s="87" t="s">
        <v>22</v>
      </c>
      <c r="R5" s="82" t="s">
        <v>20</v>
      </c>
      <c r="S5" s="82" t="s">
        <v>19</v>
      </c>
      <c r="T5" s="82" t="s">
        <v>20</v>
      </c>
      <c r="U5" s="89" t="s">
        <v>19</v>
      </c>
      <c r="V5" s="86" t="s">
        <v>11</v>
      </c>
      <c r="W5" s="86" t="s">
        <v>11</v>
      </c>
    </row>
    <row r="6" spans="1:136" ht="22.5" customHeight="1">
      <c r="A6" s="71"/>
      <c r="B6" s="79"/>
      <c r="C6" s="79"/>
      <c r="D6" s="79"/>
      <c r="E6" s="79"/>
      <c r="F6" s="81"/>
      <c r="G6" s="81"/>
      <c r="H6" s="79"/>
      <c r="I6" s="79"/>
      <c r="J6" s="81"/>
      <c r="K6" s="81"/>
      <c r="L6" s="79"/>
      <c r="M6" s="79"/>
      <c r="N6" s="91"/>
      <c r="O6" s="91"/>
      <c r="P6" s="79"/>
      <c r="Q6" s="79"/>
      <c r="R6" s="79"/>
      <c r="S6" s="79"/>
      <c r="T6" s="79"/>
      <c r="U6" s="84"/>
      <c r="V6" s="86"/>
      <c r="W6" s="86"/>
    </row>
    <row r="7" spans="1:136" ht="16.5" hidden="1" customHeight="1">
      <c r="A7" s="5">
        <v>8807</v>
      </c>
      <c r="B7" s="6">
        <f>D7+F7+H7+L7+N7+R7+T7</f>
        <v>984377</v>
      </c>
      <c r="C7" s="7">
        <f>E7+G7+I7+M7+O7+S7+U7</f>
        <v>984377</v>
      </c>
      <c r="D7" s="7">
        <v>478536</v>
      </c>
      <c r="E7" s="7">
        <v>478536</v>
      </c>
      <c r="F7" s="7">
        <v>0</v>
      </c>
      <c r="G7" s="7">
        <v>0</v>
      </c>
      <c r="H7" s="7">
        <v>20311</v>
      </c>
      <c r="I7" s="7">
        <v>20311</v>
      </c>
      <c r="J7" s="7"/>
      <c r="K7" s="7"/>
      <c r="L7" s="7">
        <v>561</v>
      </c>
      <c r="M7" s="7">
        <v>561</v>
      </c>
      <c r="N7" s="7">
        <v>1503</v>
      </c>
      <c r="O7" s="7">
        <v>1503</v>
      </c>
      <c r="P7" s="7"/>
      <c r="Q7" s="7"/>
      <c r="R7" s="7">
        <v>4167</v>
      </c>
      <c r="S7" s="7">
        <v>4167</v>
      </c>
      <c r="T7" s="7">
        <v>479299</v>
      </c>
      <c r="U7" s="8">
        <v>479299</v>
      </c>
      <c r="V7" s="9"/>
      <c r="W7" s="9"/>
      <c r="X7" s="10"/>
      <c r="Y7" s="10"/>
    </row>
    <row r="8" spans="1:136" ht="16.5" hidden="1" customHeight="1">
      <c r="A8" s="5">
        <v>8808</v>
      </c>
      <c r="B8" s="11">
        <f>D8+F8+H8+L8+N8+R8+T8</f>
        <v>572497</v>
      </c>
      <c r="C8" s="12">
        <f>E8+G10+I8+M8+O8+S8+U8</f>
        <v>1556874</v>
      </c>
      <c r="D8" s="12">
        <v>513567</v>
      </c>
      <c r="E8" s="12">
        <f>E7+D8</f>
        <v>992103</v>
      </c>
      <c r="F8" s="7">
        <v>0</v>
      </c>
      <c r="G8" s="7">
        <v>0</v>
      </c>
      <c r="H8" s="12">
        <v>16956</v>
      </c>
      <c r="I8" s="12">
        <f>I7+H8</f>
        <v>37267</v>
      </c>
      <c r="J8" s="12"/>
      <c r="K8" s="12"/>
      <c r="L8" s="12">
        <v>4556</v>
      </c>
      <c r="M8" s="12">
        <f>M7+L8</f>
        <v>5117</v>
      </c>
      <c r="N8" s="13">
        <v>0</v>
      </c>
      <c r="O8" s="12">
        <f>O7+N8</f>
        <v>1503</v>
      </c>
      <c r="P8" s="12"/>
      <c r="Q8" s="12"/>
      <c r="R8" s="12">
        <v>1027</v>
      </c>
      <c r="S8" s="12">
        <f>S7+R8</f>
        <v>5194</v>
      </c>
      <c r="T8" s="12">
        <v>36391</v>
      </c>
      <c r="U8" s="14">
        <f>U7+T8</f>
        <v>515690</v>
      </c>
      <c r="V8" s="15"/>
      <c r="W8" s="15"/>
      <c r="X8" s="16"/>
      <c r="Y8" s="16"/>
      <c r="Z8" s="16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</row>
    <row r="9" spans="1:136" hidden="1">
      <c r="A9" s="5">
        <v>8809</v>
      </c>
      <c r="B9" s="11">
        <f>D9+F9+H9+L9+N9+R9+T9</f>
        <v>454887</v>
      </c>
      <c r="C9" s="12">
        <f>E9+G9+I9+M9+O9+S9+U9</f>
        <v>2011761</v>
      </c>
      <c r="D9" s="12">
        <v>303004</v>
      </c>
      <c r="E9" s="12">
        <v>1295108</v>
      </c>
      <c r="F9" s="7">
        <v>0</v>
      </c>
      <c r="G9" s="7">
        <v>0</v>
      </c>
      <c r="H9" s="12">
        <v>15495</v>
      </c>
      <c r="I9" s="12">
        <v>52761</v>
      </c>
      <c r="J9" s="12"/>
      <c r="K9" s="12"/>
      <c r="L9" s="12">
        <v>112220</v>
      </c>
      <c r="M9" s="12">
        <v>117337</v>
      </c>
      <c r="N9" s="12">
        <v>0</v>
      </c>
      <c r="O9" s="12">
        <v>1503</v>
      </c>
      <c r="P9" s="12"/>
      <c r="Q9" s="12"/>
      <c r="R9" s="12">
        <v>9828</v>
      </c>
      <c r="S9" s="12">
        <v>15021</v>
      </c>
      <c r="T9" s="12">
        <v>14340</v>
      </c>
      <c r="U9" s="14">
        <v>530031</v>
      </c>
      <c r="V9" s="15"/>
      <c r="W9" s="15"/>
      <c r="X9" s="16"/>
      <c r="Y9" s="16"/>
      <c r="Z9" s="16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</row>
    <row r="10" spans="1:136" hidden="1">
      <c r="A10" s="5">
        <v>8810</v>
      </c>
      <c r="B10" s="11">
        <f>D10+F10+H10+L10+N10+R10+T10</f>
        <v>686791</v>
      </c>
      <c r="C10" s="12">
        <f>E10+V10+I10+M10+O10+S10+U10+W10</f>
        <v>2698552</v>
      </c>
      <c r="D10" s="12">
        <v>306797</v>
      </c>
      <c r="E10" s="12">
        <v>1601904</v>
      </c>
      <c r="F10" s="7">
        <v>0</v>
      </c>
      <c r="G10" s="7">
        <v>0</v>
      </c>
      <c r="H10" s="12">
        <v>21128</v>
      </c>
      <c r="I10" s="12">
        <v>73889</v>
      </c>
      <c r="J10" s="12"/>
      <c r="K10" s="12"/>
      <c r="L10" s="12">
        <v>3708</v>
      </c>
      <c r="M10" s="12">
        <v>121046</v>
      </c>
      <c r="N10" s="12">
        <v>0</v>
      </c>
      <c r="O10" s="12">
        <v>1503</v>
      </c>
      <c r="P10" s="12"/>
      <c r="Q10" s="12"/>
      <c r="R10" s="12">
        <v>5045</v>
      </c>
      <c r="S10" s="12">
        <v>20066</v>
      </c>
      <c r="T10" s="12">
        <v>350113</v>
      </c>
      <c r="U10" s="14">
        <v>880144</v>
      </c>
      <c r="V10" s="15"/>
      <c r="W10" s="15"/>
      <c r="X10" s="16"/>
      <c r="Y10" s="16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</row>
    <row r="11" spans="1:136" hidden="1">
      <c r="A11" s="5">
        <v>8811</v>
      </c>
      <c r="B11" s="11">
        <f t="shared" ref="B11:B43" si="0">SUM(D11,F11,H11,L11,N11,R11,T11)</f>
        <v>591825</v>
      </c>
      <c r="C11" s="12">
        <f>E11+V11+I11+M11+O11+S11+U11</f>
        <v>3290377</v>
      </c>
      <c r="D11" s="12">
        <v>570606</v>
      </c>
      <c r="E11" s="12">
        <v>2172510</v>
      </c>
      <c r="F11" s="7">
        <v>0</v>
      </c>
      <c r="G11" s="7">
        <v>0</v>
      </c>
      <c r="H11" s="12">
        <v>14674</v>
      </c>
      <c r="I11" s="12">
        <v>88563</v>
      </c>
      <c r="J11" s="12"/>
      <c r="K11" s="12"/>
      <c r="L11" s="12">
        <v>36</v>
      </c>
      <c r="M11" s="12">
        <v>121082</v>
      </c>
      <c r="N11" s="12" t="s">
        <v>23</v>
      </c>
      <c r="O11" s="12">
        <v>1503</v>
      </c>
      <c r="P11" s="12"/>
      <c r="Q11" s="12"/>
      <c r="R11" s="12">
        <v>1942</v>
      </c>
      <c r="S11" s="12">
        <v>22008</v>
      </c>
      <c r="T11" s="12">
        <v>4567</v>
      </c>
      <c r="U11" s="14">
        <v>884711</v>
      </c>
      <c r="V11" s="4"/>
      <c r="W11" s="4"/>
      <c r="X11" s="17"/>
      <c r="Y11" s="17"/>
    </row>
    <row r="12" spans="1:136" hidden="1">
      <c r="A12" s="5">
        <v>8812</v>
      </c>
      <c r="B12" s="11">
        <f t="shared" si="0"/>
        <v>724244</v>
      </c>
      <c r="C12" s="12">
        <f t="shared" ref="C12:C24" si="1">E12+V12+I12+M12+O12+S12+U12+W12</f>
        <v>4014621</v>
      </c>
      <c r="D12" s="7">
        <v>400786</v>
      </c>
      <c r="E12" s="7">
        <v>2573296</v>
      </c>
      <c r="F12" s="7">
        <v>0</v>
      </c>
      <c r="G12" s="7">
        <v>0</v>
      </c>
      <c r="H12" s="7">
        <v>67667</v>
      </c>
      <c r="I12" s="7">
        <v>156231</v>
      </c>
      <c r="J12" s="7"/>
      <c r="K12" s="7"/>
      <c r="L12" s="7">
        <v>17211</v>
      </c>
      <c r="M12" s="7">
        <v>138292</v>
      </c>
      <c r="N12" s="12" t="s">
        <v>23</v>
      </c>
      <c r="O12" s="7">
        <v>1503</v>
      </c>
      <c r="P12" s="7"/>
      <c r="Q12" s="7"/>
      <c r="R12" s="7">
        <v>1442</v>
      </c>
      <c r="S12" s="7">
        <v>23450</v>
      </c>
      <c r="T12" s="7">
        <v>237138</v>
      </c>
      <c r="U12" s="8">
        <v>1121849</v>
      </c>
      <c r="V12" s="4"/>
      <c r="W12" s="4"/>
      <c r="X12" s="17"/>
      <c r="Y12" s="17"/>
    </row>
    <row r="13" spans="1:136" hidden="1">
      <c r="A13" s="5">
        <v>8901</v>
      </c>
      <c r="B13" s="11">
        <f t="shared" si="0"/>
        <v>1333745</v>
      </c>
      <c r="C13" s="12">
        <f t="shared" si="1"/>
        <v>5348367</v>
      </c>
      <c r="D13" s="7">
        <v>1613064</v>
      </c>
      <c r="E13" s="7">
        <v>4186360</v>
      </c>
      <c r="F13" s="7">
        <v>0</v>
      </c>
      <c r="G13" s="7">
        <v>0</v>
      </c>
      <c r="H13" s="7">
        <v>13833</v>
      </c>
      <c r="I13" s="7">
        <v>170064</v>
      </c>
      <c r="J13" s="7"/>
      <c r="K13" s="7"/>
      <c r="L13" s="7">
        <v>9874</v>
      </c>
      <c r="M13" s="7">
        <v>148167</v>
      </c>
      <c r="N13" s="12" t="s">
        <v>23</v>
      </c>
      <c r="O13" s="7">
        <v>1503</v>
      </c>
      <c r="P13" s="7"/>
      <c r="Q13" s="7"/>
      <c r="R13" s="7">
        <v>4373</v>
      </c>
      <c r="S13" s="7">
        <v>27823</v>
      </c>
      <c r="T13" s="7">
        <v>-307399</v>
      </c>
      <c r="U13" s="8">
        <v>814450</v>
      </c>
      <c r="V13" s="4"/>
      <c r="W13" s="4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</row>
    <row r="14" spans="1:136" hidden="1">
      <c r="A14" s="5">
        <v>8902</v>
      </c>
      <c r="B14" s="11">
        <f t="shared" si="0"/>
        <v>475485</v>
      </c>
      <c r="C14" s="12">
        <f t="shared" si="1"/>
        <v>5823851</v>
      </c>
      <c r="D14" s="12">
        <v>286060</v>
      </c>
      <c r="E14" s="12">
        <v>4472420</v>
      </c>
      <c r="F14" s="7">
        <v>0</v>
      </c>
      <c r="G14" s="7">
        <v>0</v>
      </c>
      <c r="H14" s="7">
        <v>19030</v>
      </c>
      <c r="I14" s="7">
        <v>189094</v>
      </c>
      <c r="J14" s="7"/>
      <c r="K14" s="7"/>
      <c r="L14" s="7">
        <v>1076</v>
      </c>
      <c r="M14" s="7">
        <v>149243</v>
      </c>
      <c r="N14" s="19" t="s">
        <v>23</v>
      </c>
      <c r="O14" s="7">
        <v>1503</v>
      </c>
      <c r="P14" s="7"/>
      <c r="Q14" s="7"/>
      <c r="R14" s="7">
        <v>985</v>
      </c>
      <c r="S14" s="7">
        <v>28808</v>
      </c>
      <c r="T14" s="7">
        <v>168334</v>
      </c>
      <c r="U14" s="8">
        <v>982783</v>
      </c>
      <c r="V14" s="4"/>
      <c r="W14" s="4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</row>
    <row r="15" spans="1:136" hidden="1">
      <c r="A15" s="5">
        <v>8903</v>
      </c>
      <c r="B15" s="11">
        <f t="shared" si="0"/>
        <v>948888</v>
      </c>
      <c r="C15" s="12">
        <f t="shared" si="1"/>
        <v>6772740</v>
      </c>
      <c r="D15" s="12">
        <v>641883</v>
      </c>
      <c r="E15" s="12">
        <v>5114303</v>
      </c>
      <c r="F15" s="7">
        <v>0</v>
      </c>
      <c r="G15" s="7">
        <v>0</v>
      </c>
      <c r="H15" s="12">
        <v>29517</v>
      </c>
      <c r="I15" s="12">
        <v>218611</v>
      </c>
      <c r="J15" s="12"/>
      <c r="K15" s="12"/>
      <c r="L15" s="12">
        <v>7543</v>
      </c>
      <c r="M15" s="12">
        <v>156785</v>
      </c>
      <c r="N15" s="12">
        <v>0</v>
      </c>
      <c r="O15" s="12">
        <v>1503</v>
      </c>
      <c r="P15" s="12"/>
      <c r="Q15" s="12"/>
      <c r="R15" s="12">
        <v>5026</v>
      </c>
      <c r="S15" s="12">
        <v>33835</v>
      </c>
      <c r="T15" s="12">
        <v>264919</v>
      </c>
      <c r="U15" s="14">
        <v>1247703</v>
      </c>
      <c r="V15" s="4"/>
      <c r="W15" s="4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</row>
    <row r="16" spans="1:136" hidden="1">
      <c r="A16" s="5">
        <v>8904</v>
      </c>
      <c r="B16" s="11">
        <f t="shared" si="0"/>
        <v>697940</v>
      </c>
      <c r="C16" s="12">
        <f t="shared" si="1"/>
        <v>7470680</v>
      </c>
      <c r="D16" s="12">
        <v>436308</v>
      </c>
      <c r="E16" s="12">
        <v>5550611</v>
      </c>
      <c r="F16" s="7">
        <v>0</v>
      </c>
      <c r="G16" s="7">
        <v>0</v>
      </c>
      <c r="H16" s="12">
        <v>24488</v>
      </c>
      <c r="I16" s="12">
        <v>243099</v>
      </c>
      <c r="J16" s="12"/>
      <c r="K16" s="12"/>
      <c r="L16" s="12">
        <v>5816</v>
      </c>
      <c r="M16" s="12">
        <v>162602</v>
      </c>
      <c r="N16" s="12">
        <v>0</v>
      </c>
      <c r="O16" s="12">
        <v>1503</v>
      </c>
      <c r="P16" s="12"/>
      <c r="Q16" s="12"/>
      <c r="R16" s="12">
        <v>3472</v>
      </c>
      <c r="S16" s="12">
        <v>37306</v>
      </c>
      <c r="T16" s="12">
        <v>227856</v>
      </c>
      <c r="U16" s="14">
        <v>1475559</v>
      </c>
      <c r="V16" s="4"/>
      <c r="W16" s="4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</row>
    <row r="17" spans="1:116" hidden="1">
      <c r="A17" s="5">
        <v>8905</v>
      </c>
      <c r="B17" s="11">
        <f t="shared" si="0"/>
        <v>741019</v>
      </c>
      <c r="C17" s="12">
        <f t="shared" si="1"/>
        <v>8211699</v>
      </c>
      <c r="D17" s="7">
        <v>641548</v>
      </c>
      <c r="E17" s="7">
        <v>6192159</v>
      </c>
      <c r="F17" s="7">
        <v>0</v>
      </c>
      <c r="G17" s="7">
        <v>0</v>
      </c>
      <c r="H17" s="7">
        <v>23518</v>
      </c>
      <c r="I17" s="7">
        <v>266617</v>
      </c>
      <c r="J17" s="7"/>
      <c r="K17" s="7"/>
      <c r="L17" s="7">
        <v>372</v>
      </c>
      <c r="M17" s="7">
        <v>162974</v>
      </c>
      <c r="N17" s="13">
        <v>0</v>
      </c>
      <c r="O17" s="12">
        <v>1503</v>
      </c>
      <c r="P17" s="12"/>
      <c r="Q17" s="12"/>
      <c r="R17" s="7">
        <v>3180</v>
      </c>
      <c r="S17" s="7">
        <v>40486</v>
      </c>
      <c r="T17" s="7">
        <v>72401</v>
      </c>
      <c r="U17" s="8">
        <v>1547960</v>
      </c>
      <c r="V17" s="4"/>
      <c r="W17" s="4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</row>
    <row r="18" spans="1:116" hidden="1">
      <c r="A18" s="5">
        <v>8906</v>
      </c>
      <c r="B18" s="11">
        <f t="shared" si="0"/>
        <v>377453</v>
      </c>
      <c r="C18" s="12">
        <f t="shared" si="1"/>
        <v>8589152</v>
      </c>
      <c r="D18" s="7">
        <v>310023</v>
      </c>
      <c r="E18" s="7">
        <v>6502182</v>
      </c>
      <c r="F18" s="7">
        <v>0</v>
      </c>
      <c r="G18" s="7">
        <v>0</v>
      </c>
      <c r="H18" s="7">
        <v>25870</v>
      </c>
      <c r="I18" s="7">
        <v>292487</v>
      </c>
      <c r="J18" s="7"/>
      <c r="K18" s="7"/>
      <c r="L18" s="7">
        <v>12211</v>
      </c>
      <c r="M18" s="7">
        <v>175185</v>
      </c>
      <c r="N18" s="13" t="s">
        <v>23</v>
      </c>
      <c r="O18" s="7">
        <v>1503</v>
      </c>
      <c r="P18" s="7"/>
      <c r="Q18" s="7"/>
      <c r="R18" s="7">
        <v>4281</v>
      </c>
      <c r="S18" s="7">
        <v>44767</v>
      </c>
      <c r="T18" s="7">
        <v>25068</v>
      </c>
      <c r="U18" s="8">
        <v>1573028</v>
      </c>
      <c r="V18" s="20"/>
      <c r="W18" s="20"/>
    </row>
    <row r="19" spans="1:116" hidden="1">
      <c r="A19" s="5">
        <v>8907</v>
      </c>
      <c r="B19" s="11">
        <f t="shared" si="0"/>
        <v>287769</v>
      </c>
      <c r="C19" s="12">
        <f t="shared" si="1"/>
        <v>8876921</v>
      </c>
      <c r="D19" s="7">
        <v>219434</v>
      </c>
      <c r="E19" s="7">
        <v>6721616</v>
      </c>
      <c r="F19" s="7">
        <v>0</v>
      </c>
      <c r="G19" s="7">
        <v>0</v>
      </c>
      <c r="H19" s="7">
        <v>35490</v>
      </c>
      <c r="I19" s="7">
        <v>327977</v>
      </c>
      <c r="J19" s="7"/>
      <c r="K19" s="7"/>
      <c r="L19" s="7">
        <v>11359</v>
      </c>
      <c r="M19" s="7">
        <v>186544</v>
      </c>
      <c r="N19" s="13" t="s">
        <v>23</v>
      </c>
      <c r="O19" s="7">
        <v>1503</v>
      </c>
      <c r="P19" s="7"/>
      <c r="Q19" s="7"/>
      <c r="R19" s="7">
        <v>4650</v>
      </c>
      <c r="S19" s="7">
        <v>49417</v>
      </c>
      <c r="T19" s="7">
        <v>16836</v>
      </c>
      <c r="U19" s="8">
        <v>1589864</v>
      </c>
      <c r="V19" s="20"/>
      <c r="W19" s="20"/>
    </row>
    <row r="20" spans="1:116" ht="16.5" hidden="1" customHeight="1">
      <c r="A20" s="4">
        <v>8908</v>
      </c>
      <c r="B20" s="12">
        <f t="shared" si="0"/>
        <v>290757</v>
      </c>
      <c r="C20" s="15">
        <f t="shared" si="1"/>
        <v>9167679</v>
      </c>
      <c r="D20" s="21">
        <v>177128</v>
      </c>
      <c r="E20" s="22">
        <v>6898744</v>
      </c>
      <c r="F20" s="7">
        <v>0</v>
      </c>
      <c r="G20" s="9">
        <v>0</v>
      </c>
      <c r="H20" s="21">
        <v>22112</v>
      </c>
      <c r="I20" s="22">
        <v>350089</v>
      </c>
      <c r="J20" s="22"/>
      <c r="K20" s="22"/>
      <c r="L20" s="21">
        <v>2169</v>
      </c>
      <c r="M20" s="22">
        <v>188713</v>
      </c>
      <c r="N20" s="13" t="s">
        <v>23</v>
      </c>
      <c r="O20" s="22">
        <v>1503</v>
      </c>
      <c r="P20" s="22"/>
      <c r="Q20" s="22"/>
      <c r="R20" s="21">
        <v>3271</v>
      </c>
      <c r="S20" s="22">
        <v>52688</v>
      </c>
      <c r="T20" s="21">
        <v>86077</v>
      </c>
      <c r="U20" s="22">
        <v>1675942</v>
      </c>
      <c r="V20" s="23"/>
      <c r="W20" s="23"/>
    </row>
    <row r="21" spans="1:116" ht="16.5" hidden="1" customHeight="1">
      <c r="A21" s="24">
        <v>8909</v>
      </c>
      <c r="B21" s="12">
        <f t="shared" si="0"/>
        <v>461784</v>
      </c>
      <c r="C21" s="15">
        <f t="shared" si="1"/>
        <v>9629463</v>
      </c>
      <c r="D21" s="21">
        <v>227305</v>
      </c>
      <c r="E21" s="25">
        <v>7126049</v>
      </c>
      <c r="F21" s="26" t="s">
        <v>23</v>
      </c>
      <c r="G21" s="27" t="s">
        <v>23</v>
      </c>
      <c r="H21" s="21">
        <v>51341</v>
      </c>
      <c r="I21" s="25">
        <v>401430</v>
      </c>
      <c r="J21" s="25"/>
      <c r="K21" s="25"/>
      <c r="L21" s="21">
        <v>1992</v>
      </c>
      <c r="M21" s="25">
        <v>190705</v>
      </c>
      <c r="N21" s="28" t="s">
        <v>23</v>
      </c>
      <c r="O21" s="25">
        <v>1503</v>
      </c>
      <c r="P21" s="25"/>
      <c r="Q21" s="25"/>
      <c r="R21" s="21">
        <v>4927</v>
      </c>
      <c r="S21" s="25">
        <v>57615</v>
      </c>
      <c r="T21" s="21">
        <v>176219</v>
      </c>
      <c r="U21" s="25">
        <v>1852161</v>
      </c>
    </row>
    <row r="22" spans="1:116" hidden="1">
      <c r="A22" s="24">
        <v>8910</v>
      </c>
      <c r="B22" s="12">
        <f t="shared" si="0"/>
        <v>147735</v>
      </c>
      <c r="C22" s="15">
        <f t="shared" si="1"/>
        <v>9777197</v>
      </c>
      <c r="D22" s="21">
        <v>312894</v>
      </c>
      <c r="E22" s="25">
        <v>7438943</v>
      </c>
      <c r="F22" s="7">
        <v>0</v>
      </c>
      <c r="G22" s="27" t="s">
        <v>23</v>
      </c>
      <c r="H22" s="21">
        <v>32220</v>
      </c>
      <c r="I22" s="25">
        <v>433649</v>
      </c>
      <c r="J22" s="25"/>
      <c r="K22" s="25"/>
      <c r="L22" s="21">
        <v>1315</v>
      </c>
      <c r="M22" s="25">
        <v>192020</v>
      </c>
      <c r="N22" s="28" t="s">
        <v>23</v>
      </c>
      <c r="O22" s="25">
        <v>1503</v>
      </c>
      <c r="P22" s="25"/>
      <c r="Q22" s="25"/>
      <c r="R22" s="21">
        <v>41082</v>
      </c>
      <c r="S22" s="25">
        <v>98697</v>
      </c>
      <c r="T22" s="21">
        <v>-239776</v>
      </c>
      <c r="U22" s="25">
        <v>1612385</v>
      </c>
      <c r="V22" s="18"/>
    </row>
    <row r="23" spans="1:116" hidden="1">
      <c r="A23" s="24">
        <v>8911</v>
      </c>
      <c r="B23" s="12">
        <f t="shared" si="0"/>
        <v>344849</v>
      </c>
      <c r="C23" s="15">
        <f t="shared" si="1"/>
        <v>10122046</v>
      </c>
      <c r="D23" s="21">
        <v>103556</v>
      </c>
      <c r="E23" s="25">
        <v>7542498</v>
      </c>
      <c r="F23" s="28" t="s">
        <v>23</v>
      </c>
      <c r="G23" s="29" t="s">
        <v>23</v>
      </c>
      <c r="H23" s="21">
        <v>29856</v>
      </c>
      <c r="I23" s="25">
        <v>463506</v>
      </c>
      <c r="J23" s="25"/>
      <c r="K23" s="25"/>
      <c r="L23" s="21">
        <v>3773</v>
      </c>
      <c r="M23" s="25">
        <v>195793</v>
      </c>
      <c r="N23" s="28" t="s">
        <v>23</v>
      </c>
      <c r="O23" s="25">
        <v>1503</v>
      </c>
      <c r="P23" s="25"/>
      <c r="Q23" s="25"/>
      <c r="R23" s="21">
        <v>3352</v>
      </c>
      <c r="S23" s="25">
        <v>102049</v>
      </c>
      <c r="T23" s="21">
        <v>204312</v>
      </c>
      <c r="U23" s="25">
        <v>1816697</v>
      </c>
    </row>
    <row r="24" spans="1:116" hidden="1">
      <c r="A24" s="24">
        <v>8912</v>
      </c>
      <c r="B24" s="12">
        <f t="shared" si="0"/>
        <v>669151</v>
      </c>
      <c r="C24" s="15">
        <f t="shared" si="1"/>
        <v>10791198</v>
      </c>
      <c r="D24" s="21">
        <v>551214</v>
      </c>
      <c r="E24" s="25">
        <v>8093712</v>
      </c>
      <c r="F24" s="28" t="s">
        <v>23</v>
      </c>
      <c r="G24" s="29" t="s">
        <v>23</v>
      </c>
      <c r="H24" s="21">
        <v>75009</v>
      </c>
      <c r="I24" s="25">
        <v>538515</v>
      </c>
      <c r="J24" s="25"/>
      <c r="K24" s="25"/>
      <c r="L24" s="21">
        <v>16555</v>
      </c>
      <c r="M24" s="25">
        <v>212348</v>
      </c>
      <c r="N24" s="28" t="s">
        <v>23</v>
      </c>
      <c r="O24" s="25">
        <v>1503</v>
      </c>
      <c r="P24" s="25"/>
      <c r="Q24" s="25"/>
      <c r="R24" s="21">
        <v>5263</v>
      </c>
      <c r="S24" s="25">
        <v>107313</v>
      </c>
      <c r="T24" s="21">
        <v>21110</v>
      </c>
      <c r="U24" s="25">
        <v>1837807</v>
      </c>
      <c r="V24" s="18"/>
      <c r="W24" s="18"/>
      <c r="X24" s="18"/>
      <c r="Y24" s="18"/>
    </row>
    <row r="25" spans="1:116" hidden="1">
      <c r="A25" s="24">
        <v>9001</v>
      </c>
      <c r="B25" s="12">
        <f t="shared" si="0"/>
        <v>1462116</v>
      </c>
      <c r="C25" s="15">
        <f t="shared" ref="C25:C43" si="2">SUM(E25,G25,I25,M25,O25,S25,U25,W25)</f>
        <v>1462116</v>
      </c>
      <c r="D25" s="21">
        <v>294600</v>
      </c>
      <c r="E25" s="25">
        <v>294600</v>
      </c>
      <c r="F25" s="28" t="s">
        <v>23</v>
      </c>
      <c r="G25" s="29" t="s">
        <v>23</v>
      </c>
      <c r="H25" s="21">
        <v>8902</v>
      </c>
      <c r="I25" s="25">
        <v>8902</v>
      </c>
      <c r="J25" s="25"/>
      <c r="K25" s="25"/>
      <c r="L25" s="21">
        <v>2400</v>
      </c>
      <c r="M25" s="25">
        <v>2400</v>
      </c>
      <c r="N25" s="28" t="s">
        <v>23</v>
      </c>
      <c r="O25" s="29" t="s">
        <v>23</v>
      </c>
      <c r="P25" s="29"/>
      <c r="Q25" s="29"/>
      <c r="R25" s="21">
        <v>4666</v>
      </c>
      <c r="S25" s="25">
        <v>4666</v>
      </c>
      <c r="T25" s="21">
        <v>1151548</v>
      </c>
      <c r="U25" s="25">
        <v>1151548</v>
      </c>
      <c r="V25" s="18"/>
      <c r="W25" s="18"/>
      <c r="X25" s="18"/>
      <c r="Y25" s="18"/>
    </row>
    <row r="26" spans="1:116" hidden="1">
      <c r="A26" s="24">
        <v>9002</v>
      </c>
      <c r="B26" s="12">
        <f t="shared" si="0"/>
        <v>259730</v>
      </c>
      <c r="C26" s="15">
        <f t="shared" si="2"/>
        <v>1721846</v>
      </c>
      <c r="D26" s="21">
        <v>173622</v>
      </c>
      <c r="E26" s="25">
        <v>468222</v>
      </c>
      <c r="F26" s="28" t="s">
        <v>23</v>
      </c>
      <c r="G26" s="29" t="s">
        <v>23</v>
      </c>
      <c r="H26" s="21">
        <v>39511</v>
      </c>
      <c r="I26" s="25">
        <v>48412</v>
      </c>
      <c r="J26" s="25"/>
      <c r="K26" s="25"/>
      <c r="L26" s="21">
        <v>2140</v>
      </c>
      <c r="M26" s="25">
        <v>4540</v>
      </c>
      <c r="N26" s="21">
        <v>4007</v>
      </c>
      <c r="O26" s="25">
        <v>4007</v>
      </c>
      <c r="P26" s="25"/>
      <c r="Q26" s="25"/>
      <c r="R26" s="21">
        <v>21030</v>
      </c>
      <c r="S26" s="25">
        <v>25697</v>
      </c>
      <c r="T26" s="21">
        <v>19420</v>
      </c>
      <c r="U26" s="25">
        <v>1170968</v>
      </c>
      <c r="V26" s="18"/>
      <c r="W26" s="18"/>
      <c r="X26" s="18"/>
      <c r="Y26" s="18"/>
    </row>
    <row r="27" spans="1:116" hidden="1">
      <c r="A27" s="24">
        <v>9003</v>
      </c>
      <c r="B27" s="12">
        <f t="shared" si="0"/>
        <v>450779</v>
      </c>
      <c r="C27" s="15">
        <f t="shared" si="2"/>
        <v>2172624</v>
      </c>
      <c r="D27" s="21">
        <v>326701</v>
      </c>
      <c r="E27" s="25">
        <v>794924</v>
      </c>
      <c r="F27" s="28" t="s">
        <v>23</v>
      </c>
      <c r="G27" s="29" t="s">
        <v>23</v>
      </c>
      <c r="H27" s="21">
        <v>23445</v>
      </c>
      <c r="I27" s="25">
        <v>71857</v>
      </c>
      <c r="J27" s="25"/>
      <c r="K27" s="25"/>
      <c r="L27" s="21">
        <v>2377</v>
      </c>
      <c r="M27" s="25">
        <v>6917</v>
      </c>
      <c r="N27" s="28" t="s">
        <v>23</v>
      </c>
      <c r="O27" s="25">
        <v>4007</v>
      </c>
      <c r="P27" s="25"/>
      <c r="Q27" s="25"/>
      <c r="R27" s="21">
        <v>8552</v>
      </c>
      <c r="S27" s="25">
        <v>34248</v>
      </c>
      <c r="T27" s="21">
        <v>89704</v>
      </c>
      <c r="U27" s="25">
        <v>1260671</v>
      </c>
      <c r="V27" s="18"/>
      <c r="W27" s="18"/>
      <c r="X27" s="18"/>
      <c r="Y27" s="18"/>
    </row>
    <row r="28" spans="1:116" hidden="1">
      <c r="A28" s="24">
        <v>9004</v>
      </c>
      <c r="B28" s="12">
        <f t="shared" si="0"/>
        <v>672308</v>
      </c>
      <c r="C28" s="15">
        <f t="shared" si="2"/>
        <v>2844933</v>
      </c>
      <c r="D28" s="21">
        <v>452571</v>
      </c>
      <c r="E28" s="25">
        <v>1247495</v>
      </c>
      <c r="F28" s="28" t="s">
        <v>23</v>
      </c>
      <c r="G28" s="29" t="s">
        <v>23</v>
      </c>
      <c r="H28" s="21">
        <v>24817</v>
      </c>
      <c r="I28" s="25">
        <v>96674</v>
      </c>
      <c r="J28" s="25"/>
      <c r="K28" s="25"/>
      <c r="L28" s="21">
        <v>6132</v>
      </c>
      <c r="M28" s="25">
        <v>13049</v>
      </c>
      <c r="N28" s="28" t="s">
        <v>23</v>
      </c>
      <c r="O28" s="25">
        <v>4007</v>
      </c>
      <c r="P28" s="25"/>
      <c r="Q28" s="25"/>
      <c r="R28" s="21">
        <v>28613</v>
      </c>
      <c r="S28" s="25">
        <v>62862</v>
      </c>
      <c r="T28" s="21">
        <v>160175</v>
      </c>
      <c r="U28" s="25">
        <v>1420846</v>
      </c>
    </row>
    <row r="29" spans="1:116" hidden="1">
      <c r="A29" s="24">
        <v>9005</v>
      </c>
      <c r="B29" s="12">
        <f t="shared" si="0"/>
        <v>1232743</v>
      </c>
      <c r="C29" s="15">
        <f t="shared" si="2"/>
        <v>4077676</v>
      </c>
      <c r="D29" s="21">
        <v>751794</v>
      </c>
      <c r="E29" s="25">
        <v>1999289</v>
      </c>
      <c r="F29" s="28" t="s">
        <v>23</v>
      </c>
      <c r="G29" s="28" t="s">
        <v>23</v>
      </c>
      <c r="H29" s="21">
        <v>26768</v>
      </c>
      <c r="I29" s="25">
        <v>123442</v>
      </c>
      <c r="J29" s="25"/>
      <c r="K29" s="25"/>
      <c r="L29" s="21">
        <v>7</v>
      </c>
      <c r="M29" s="25">
        <v>13056</v>
      </c>
      <c r="N29" s="28" t="s">
        <v>23</v>
      </c>
      <c r="O29" s="25">
        <v>4007</v>
      </c>
      <c r="P29" s="25"/>
      <c r="Q29" s="25"/>
      <c r="R29" s="21">
        <v>7901</v>
      </c>
      <c r="S29" s="25">
        <v>70762</v>
      </c>
      <c r="T29" s="21">
        <v>446273</v>
      </c>
      <c r="U29" s="25">
        <v>1867120</v>
      </c>
    </row>
    <row r="30" spans="1:116" hidden="1">
      <c r="A30" s="24">
        <v>9006</v>
      </c>
      <c r="B30" s="12">
        <f t="shared" si="0"/>
        <v>611088</v>
      </c>
      <c r="C30" s="14">
        <f t="shared" si="2"/>
        <v>4688764</v>
      </c>
      <c r="D30" s="30">
        <v>422668</v>
      </c>
      <c r="E30" s="21">
        <v>2421957</v>
      </c>
      <c r="F30" s="28" t="s">
        <v>23</v>
      </c>
      <c r="G30" s="28" t="s">
        <v>23</v>
      </c>
      <c r="H30" s="25">
        <v>42241</v>
      </c>
      <c r="I30" s="30">
        <v>165683</v>
      </c>
      <c r="J30" s="30"/>
      <c r="K30" s="30"/>
      <c r="L30" s="21">
        <v>6075</v>
      </c>
      <c r="M30" s="30">
        <v>19131</v>
      </c>
      <c r="N30" s="28" t="s">
        <v>23</v>
      </c>
      <c r="O30" s="25">
        <v>4007</v>
      </c>
      <c r="P30" s="25"/>
      <c r="Q30" s="25"/>
      <c r="R30" s="30">
        <v>4538</v>
      </c>
      <c r="S30" s="21">
        <v>75300</v>
      </c>
      <c r="T30" s="30">
        <v>135566</v>
      </c>
      <c r="U30" s="30">
        <v>2002686</v>
      </c>
    </row>
    <row r="31" spans="1:116" hidden="1">
      <c r="A31" s="24">
        <v>9007</v>
      </c>
      <c r="B31" s="12">
        <f t="shared" si="0"/>
        <v>1348487</v>
      </c>
      <c r="C31" s="14">
        <f t="shared" si="2"/>
        <v>6037251</v>
      </c>
      <c r="D31" s="30">
        <v>323225</v>
      </c>
      <c r="E31" s="21">
        <v>2745182</v>
      </c>
      <c r="F31" s="28" t="s">
        <v>23</v>
      </c>
      <c r="G31" s="28" t="s">
        <v>23</v>
      </c>
      <c r="H31" s="25">
        <v>26232</v>
      </c>
      <c r="I31" s="30">
        <v>191915</v>
      </c>
      <c r="J31" s="30"/>
      <c r="K31" s="30"/>
      <c r="L31" s="21">
        <v>5885</v>
      </c>
      <c r="M31" s="30">
        <v>25016</v>
      </c>
      <c r="N31" s="28" t="s">
        <v>23</v>
      </c>
      <c r="O31" s="30">
        <v>4007</v>
      </c>
      <c r="P31" s="30"/>
      <c r="Q31" s="30"/>
      <c r="R31" s="30">
        <v>9410</v>
      </c>
      <c r="S31" s="21">
        <v>84710</v>
      </c>
      <c r="T31" s="30">
        <v>983735</v>
      </c>
      <c r="U31" s="30">
        <v>2986421</v>
      </c>
    </row>
    <row r="32" spans="1:116" hidden="1">
      <c r="A32" s="24">
        <v>9008</v>
      </c>
      <c r="B32" s="12">
        <f t="shared" si="0"/>
        <v>796145</v>
      </c>
      <c r="C32" s="14">
        <f t="shared" si="2"/>
        <v>6833397</v>
      </c>
      <c r="D32" s="30">
        <v>308799</v>
      </c>
      <c r="E32" s="21">
        <v>3053981</v>
      </c>
      <c r="F32" s="28" t="s">
        <v>23</v>
      </c>
      <c r="G32" s="28" t="s">
        <v>23</v>
      </c>
      <c r="H32" s="25">
        <v>35262</v>
      </c>
      <c r="I32" s="30">
        <v>227178</v>
      </c>
      <c r="J32" s="30"/>
      <c r="K32" s="30"/>
      <c r="L32" s="21">
        <v>4470</v>
      </c>
      <c r="M32" s="30">
        <v>29486</v>
      </c>
      <c r="N32" s="28" t="s">
        <v>23</v>
      </c>
      <c r="O32" s="30">
        <v>4007</v>
      </c>
      <c r="P32" s="30"/>
      <c r="Q32" s="30"/>
      <c r="R32" s="30">
        <v>8017</v>
      </c>
      <c r="S32" s="21">
        <v>92728</v>
      </c>
      <c r="T32" s="30">
        <v>439597</v>
      </c>
      <c r="U32" s="30">
        <v>3426017</v>
      </c>
    </row>
    <row r="33" spans="1:22" hidden="1">
      <c r="A33" s="24">
        <v>9009</v>
      </c>
      <c r="B33" s="12">
        <f t="shared" si="0"/>
        <v>688283</v>
      </c>
      <c r="C33" s="14">
        <f t="shared" si="2"/>
        <v>7521679</v>
      </c>
      <c r="D33" s="30">
        <v>244264</v>
      </c>
      <c r="E33" s="21">
        <v>3298244</v>
      </c>
      <c r="F33" s="28" t="s">
        <v>23</v>
      </c>
      <c r="G33" s="28" t="s">
        <v>23</v>
      </c>
      <c r="H33" s="25">
        <v>26310</v>
      </c>
      <c r="I33" s="30">
        <v>253488</v>
      </c>
      <c r="J33" s="30"/>
      <c r="K33" s="30"/>
      <c r="L33" s="21">
        <v>2781</v>
      </c>
      <c r="M33" s="30">
        <v>32267</v>
      </c>
      <c r="N33" s="28" t="s">
        <v>23</v>
      </c>
      <c r="O33" s="30">
        <v>4007</v>
      </c>
      <c r="P33" s="30"/>
      <c r="Q33" s="30"/>
      <c r="R33" s="30">
        <v>6326</v>
      </c>
      <c r="S33" s="21">
        <v>99054</v>
      </c>
      <c r="T33" s="30">
        <v>408602</v>
      </c>
      <c r="U33" s="30">
        <v>3834619</v>
      </c>
    </row>
    <row r="34" spans="1:22" hidden="1">
      <c r="A34" s="24">
        <v>9010</v>
      </c>
      <c r="B34" s="12">
        <f t="shared" si="0"/>
        <v>825182</v>
      </c>
      <c r="C34" s="14">
        <f t="shared" si="2"/>
        <v>8347102</v>
      </c>
      <c r="D34" s="21">
        <v>236636</v>
      </c>
      <c r="E34" s="25">
        <v>3534880</v>
      </c>
      <c r="F34" s="28" t="s">
        <v>23</v>
      </c>
      <c r="G34" s="28" t="s">
        <v>23</v>
      </c>
      <c r="H34" s="21">
        <v>26161</v>
      </c>
      <c r="I34" s="25">
        <v>279649</v>
      </c>
      <c r="J34" s="25"/>
      <c r="K34" s="25"/>
      <c r="L34" s="21">
        <v>8576</v>
      </c>
      <c r="M34" s="25">
        <v>40843</v>
      </c>
      <c r="N34" s="28" t="s">
        <v>23</v>
      </c>
      <c r="O34" s="25">
        <v>4007</v>
      </c>
      <c r="P34" s="25"/>
      <c r="Q34" s="25"/>
      <c r="R34" s="21">
        <v>6619</v>
      </c>
      <c r="S34" s="25">
        <v>105913</v>
      </c>
      <c r="T34" s="21">
        <v>547190</v>
      </c>
      <c r="U34" s="25">
        <v>4381810</v>
      </c>
    </row>
    <row r="35" spans="1:22" hidden="1">
      <c r="A35" s="24">
        <v>9011</v>
      </c>
      <c r="B35" s="12">
        <f t="shared" si="0"/>
        <v>623185</v>
      </c>
      <c r="C35" s="14">
        <f t="shared" si="2"/>
        <v>8970287</v>
      </c>
      <c r="D35" s="21">
        <v>91234</v>
      </c>
      <c r="E35" s="25">
        <v>3626114</v>
      </c>
      <c r="F35" s="31">
        <v>0</v>
      </c>
      <c r="G35" s="31">
        <v>0</v>
      </c>
      <c r="H35" s="21">
        <v>35538</v>
      </c>
      <c r="I35" s="25">
        <v>315188</v>
      </c>
      <c r="J35" s="25"/>
      <c r="K35" s="25"/>
      <c r="L35" s="21">
        <v>1686</v>
      </c>
      <c r="M35" s="25">
        <v>42529</v>
      </c>
      <c r="N35" s="31">
        <v>0</v>
      </c>
      <c r="O35" s="25">
        <v>4007</v>
      </c>
      <c r="P35" s="25"/>
      <c r="Q35" s="25"/>
      <c r="R35" s="21">
        <v>12648</v>
      </c>
      <c r="S35" s="25">
        <v>118561</v>
      </c>
      <c r="T35" s="21">
        <v>482079</v>
      </c>
      <c r="U35" s="25">
        <v>4863888</v>
      </c>
    </row>
    <row r="36" spans="1:22" hidden="1">
      <c r="A36" s="24">
        <v>9012</v>
      </c>
      <c r="B36" s="12">
        <f t="shared" si="0"/>
        <v>1043731</v>
      </c>
      <c r="C36" s="14">
        <f t="shared" si="2"/>
        <v>10014018</v>
      </c>
      <c r="D36" s="21">
        <v>201243</v>
      </c>
      <c r="E36" s="25">
        <v>3827357</v>
      </c>
      <c r="F36" s="31">
        <v>0</v>
      </c>
      <c r="G36" s="31">
        <v>0</v>
      </c>
      <c r="H36" s="21">
        <v>109424</v>
      </c>
      <c r="I36" s="25">
        <v>424612</v>
      </c>
      <c r="J36" s="25"/>
      <c r="K36" s="25"/>
      <c r="L36" s="21">
        <v>10938</v>
      </c>
      <c r="M36" s="25">
        <v>53467</v>
      </c>
      <c r="N36" s="31">
        <v>0</v>
      </c>
      <c r="O36" s="25">
        <v>4007</v>
      </c>
      <c r="P36" s="25"/>
      <c r="Q36" s="25"/>
      <c r="R36" s="21">
        <v>11823</v>
      </c>
      <c r="S36" s="25">
        <v>130384</v>
      </c>
      <c r="T36" s="21">
        <v>710303</v>
      </c>
      <c r="U36" s="25">
        <v>5574191</v>
      </c>
    </row>
    <row r="37" spans="1:22" hidden="1">
      <c r="A37" s="24">
        <v>9101</v>
      </c>
      <c r="B37" s="12">
        <f t="shared" si="0"/>
        <v>350152</v>
      </c>
      <c r="C37" s="14">
        <f t="shared" si="2"/>
        <v>350152</v>
      </c>
      <c r="D37" s="21">
        <v>245533</v>
      </c>
      <c r="E37" s="25">
        <v>245533</v>
      </c>
      <c r="F37" s="31">
        <v>0</v>
      </c>
      <c r="G37" s="31">
        <v>0</v>
      </c>
      <c r="H37" s="21">
        <v>19426</v>
      </c>
      <c r="I37" s="25">
        <v>19426</v>
      </c>
      <c r="J37" s="25"/>
      <c r="K37" s="25"/>
      <c r="L37" s="21">
        <v>772</v>
      </c>
      <c r="M37" s="25">
        <v>772</v>
      </c>
      <c r="N37" s="31">
        <v>0</v>
      </c>
      <c r="O37" s="31">
        <v>0</v>
      </c>
      <c r="P37" s="31"/>
      <c r="Q37" s="31"/>
      <c r="R37" s="21">
        <v>4573</v>
      </c>
      <c r="S37" s="25">
        <v>4573</v>
      </c>
      <c r="T37" s="21">
        <v>79848</v>
      </c>
      <c r="U37" s="25">
        <v>79848</v>
      </c>
    </row>
    <row r="38" spans="1:22" hidden="1">
      <c r="A38" s="24">
        <v>9102</v>
      </c>
      <c r="B38" s="12">
        <f t="shared" si="0"/>
        <v>849668</v>
      </c>
      <c r="C38" s="14">
        <f t="shared" si="2"/>
        <v>1199820</v>
      </c>
      <c r="D38" s="21">
        <v>786523</v>
      </c>
      <c r="E38" s="25">
        <v>1032056</v>
      </c>
      <c r="F38" s="31">
        <v>0</v>
      </c>
      <c r="G38" s="31">
        <v>0</v>
      </c>
      <c r="H38" s="21">
        <v>12501</v>
      </c>
      <c r="I38" s="25">
        <v>31927</v>
      </c>
      <c r="J38" s="25"/>
      <c r="K38" s="25"/>
      <c r="L38" s="21">
        <v>1297</v>
      </c>
      <c r="M38" s="25">
        <v>2069</v>
      </c>
      <c r="N38" s="31">
        <v>0</v>
      </c>
      <c r="O38" s="31">
        <v>0</v>
      </c>
      <c r="P38" s="31"/>
      <c r="Q38" s="31"/>
      <c r="R38" s="21">
        <v>9706</v>
      </c>
      <c r="S38" s="25">
        <v>14278</v>
      </c>
      <c r="T38" s="21">
        <v>39641</v>
      </c>
      <c r="U38" s="25">
        <v>119490</v>
      </c>
    </row>
    <row r="39" spans="1:22" hidden="1">
      <c r="A39" s="24">
        <v>9103</v>
      </c>
      <c r="B39" s="12">
        <f t="shared" si="0"/>
        <v>1242158</v>
      </c>
      <c r="C39" s="14">
        <f t="shared" si="2"/>
        <v>2441978</v>
      </c>
      <c r="D39" s="21">
        <v>68032</v>
      </c>
      <c r="E39" s="25">
        <v>1100088</v>
      </c>
      <c r="F39" s="31">
        <v>0</v>
      </c>
      <c r="G39" s="31">
        <v>0</v>
      </c>
      <c r="H39" s="21">
        <v>43228</v>
      </c>
      <c r="I39" s="25">
        <v>75155</v>
      </c>
      <c r="J39" s="25"/>
      <c r="K39" s="25"/>
      <c r="L39" s="21">
        <v>5452</v>
      </c>
      <c r="M39" s="25">
        <v>7521</v>
      </c>
      <c r="N39" s="31">
        <v>0</v>
      </c>
      <c r="O39" s="31">
        <v>0</v>
      </c>
      <c r="P39" s="31"/>
      <c r="Q39" s="31"/>
      <c r="R39" s="21">
        <v>46854</v>
      </c>
      <c r="S39" s="25">
        <v>61133</v>
      </c>
      <c r="T39" s="21">
        <v>1078592</v>
      </c>
      <c r="U39" s="25">
        <v>1198081</v>
      </c>
    </row>
    <row r="40" spans="1:22" hidden="1">
      <c r="A40" s="24">
        <v>9104</v>
      </c>
      <c r="B40" s="12">
        <f t="shared" si="0"/>
        <v>863692</v>
      </c>
      <c r="C40" s="14">
        <f t="shared" si="2"/>
        <v>3305670</v>
      </c>
      <c r="D40" s="21">
        <v>285759</v>
      </c>
      <c r="E40" s="25">
        <v>1385847</v>
      </c>
      <c r="F40" s="31">
        <v>0</v>
      </c>
      <c r="G40" s="31">
        <v>0</v>
      </c>
      <c r="H40" s="21">
        <v>33255</v>
      </c>
      <c r="I40" s="25">
        <v>108411</v>
      </c>
      <c r="J40" s="25"/>
      <c r="K40" s="25"/>
      <c r="L40" s="21">
        <v>2996</v>
      </c>
      <c r="M40" s="25">
        <v>10517</v>
      </c>
      <c r="N40" s="31">
        <v>0</v>
      </c>
      <c r="O40" s="31">
        <v>0</v>
      </c>
      <c r="P40" s="31"/>
      <c r="Q40" s="31"/>
      <c r="R40" s="21">
        <v>6327</v>
      </c>
      <c r="S40" s="25">
        <v>67459</v>
      </c>
      <c r="T40" s="21">
        <v>535355</v>
      </c>
      <c r="U40" s="25">
        <v>1733436</v>
      </c>
      <c r="V40" s="32" t="s">
        <v>24</v>
      </c>
    </row>
    <row r="41" spans="1:22" hidden="1">
      <c r="A41" s="24">
        <v>9105</v>
      </c>
      <c r="B41" s="12">
        <f t="shared" si="0"/>
        <v>1239909</v>
      </c>
      <c r="C41" s="14">
        <f t="shared" si="2"/>
        <v>4545579</v>
      </c>
      <c r="D41" s="21">
        <v>619115</v>
      </c>
      <c r="E41" s="25">
        <v>2004963</v>
      </c>
      <c r="F41" s="31">
        <v>0</v>
      </c>
      <c r="G41" s="31">
        <v>0</v>
      </c>
      <c r="H41" s="21">
        <v>42076</v>
      </c>
      <c r="I41" s="25">
        <v>150487</v>
      </c>
      <c r="J41" s="25"/>
      <c r="K41" s="25"/>
      <c r="L41" s="21">
        <v>7242</v>
      </c>
      <c r="M41" s="25">
        <v>17758</v>
      </c>
      <c r="N41" s="31">
        <v>0</v>
      </c>
      <c r="O41" s="31">
        <v>0</v>
      </c>
      <c r="P41" s="31"/>
      <c r="Q41" s="31"/>
      <c r="R41" s="21">
        <v>60962</v>
      </c>
      <c r="S41" s="25">
        <v>128421</v>
      </c>
      <c r="T41" s="21">
        <v>510514</v>
      </c>
      <c r="U41" s="25">
        <v>2243950</v>
      </c>
      <c r="V41" s="32" t="s">
        <v>24</v>
      </c>
    </row>
    <row r="42" spans="1:22" hidden="1">
      <c r="A42" s="24">
        <v>9106</v>
      </c>
      <c r="B42" s="12">
        <f t="shared" si="0"/>
        <v>955060</v>
      </c>
      <c r="C42" s="14">
        <f t="shared" si="2"/>
        <v>5500640</v>
      </c>
      <c r="D42" s="21">
        <v>377963</v>
      </c>
      <c r="E42" s="25">
        <v>2382926</v>
      </c>
      <c r="F42" s="31">
        <v>0</v>
      </c>
      <c r="G42" s="31">
        <v>0</v>
      </c>
      <c r="H42" s="21">
        <v>46900</v>
      </c>
      <c r="I42" s="25">
        <v>197386</v>
      </c>
      <c r="J42" s="25"/>
      <c r="K42" s="25"/>
      <c r="L42" s="21">
        <v>2675</v>
      </c>
      <c r="M42" s="25">
        <v>20434</v>
      </c>
      <c r="N42" s="31">
        <v>0</v>
      </c>
      <c r="O42" s="31">
        <v>0</v>
      </c>
      <c r="P42" s="31"/>
      <c r="Q42" s="31"/>
      <c r="R42" s="21">
        <v>28646</v>
      </c>
      <c r="S42" s="25">
        <v>157068</v>
      </c>
      <c r="T42" s="21">
        <v>498876</v>
      </c>
      <c r="U42" s="25">
        <v>2742826</v>
      </c>
      <c r="V42" s="32" t="s">
        <v>24</v>
      </c>
    </row>
    <row r="43" spans="1:22" hidden="1">
      <c r="A43" s="24">
        <v>9107</v>
      </c>
      <c r="B43" s="12">
        <f t="shared" si="0"/>
        <v>1089285</v>
      </c>
      <c r="C43" s="14">
        <f t="shared" si="2"/>
        <v>6589924</v>
      </c>
      <c r="D43" s="21">
        <v>272390</v>
      </c>
      <c r="E43" s="25">
        <v>2655316</v>
      </c>
      <c r="F43" s="31">
        <v>0</v>
      </c>
      <c r="G43" s="31">
        <v>0</v>
      </c>
      <c r="H43" s="21">
        <v>33256</v>
      </c>
      <c r="I43" s="25">
        <v>230642</v>
      </c>
      <c r="J43" s="25"/>
      <c r="K43" s="25"/>
      <c r="L43" s="21">
        <v>7925</v>
      </c>
      <c r="M43" s="25">
        <v>28359</v>
      </c>
      <c r="N43" s="21">
        <v>2700</v>
      </c>
      <c r="O43" s="25">
        <v>2700</v>
      </c>
      <c r="P43" s="25"/>
      <c r="Q43" s="25"/>
      <c r="R43" s="21">
        <v>5341</v>
      </c>
      <c r="S43" s="25">
        <v>162409</v>
      </c>
      <c r="T43" s="21">
        <v>767673</v>
      </c>
      <c r="U43" s="25">
        <v>3510498</v>
      </c>
    </row>
    <row r="44" spans="1:22" hidden="1">
      <c r="A44" s="24">
        <v>9108</v>
      </c>
      <c r="B44" s="12">
        <v>465772</v>
      </c>
      <c r="C44" s="14">
        <v>7055697</v>
      </c>
      <c r="D44" s="21">
        <v>281019</v>
      </c>
      <c r="E44" s="21">
        <v>2936335</v>
      </c>
      <c r="F44" s="31">
        <v>0</v>
      </c>
      <c r="G44" s="31">
        <v>0</v>
      </c>
      <c r="H44" s="21">
        <v>33459</v>
      </c>
      <c r="I44" s="21">
        <v>264101</v>
      </c>
      <c r="J44" s="21"/>
      <c r="K44" s="21"/>
      <c r="L44" s="33">
        <v>2362</v>
      </c>
      <c r="M44" s="34">
        <v>30720</v>
      </c>
      <c r="N44" s="33">
        <v>0</v>
      </c>
      <c r="O44" s="21">
        <v>2700</v>
      </c>
      <c r="P44" s="21"/>
      <c r="Q44" s="21"/>
      <c r="R44" s="33">
        <v>88311</v>
      </c>
      <c r="S44" s="21">
        <v>250721</v>
      </c>
      <c r="T44" s="21">
        <v>60621</v>
      </c>
      <c r="U44" s="30">
        <v>3571120</v>
      </c>
    </row>
    <row r="45" spans="1:22" hidden="1">
      <c r="A45" s="24">
        <v>9109</v>
      </c>
      <c r="B45" s="12">
        <f t="shared" ref="B45:B59" si="3">SUM(D45,F45,H45,L45,N45,R45,T45)</f>
        <v>775696</v>
      </c>
      <c r="C45" s="14">
        <f t="shared" ref="C45:C59" si="4">SUM(E45,G45,I45,M45,O45,S45,U45,W45)</f>
        <v>7831392</v>
      </c>
      <c r="D45" s="21">
        <v>257959</v>
      </c>
      <c r="E45" s="21">
        <v>3194294</v>
      </c>
      <c r="F45" s="31">
        <v>0</v>
      </c>
      <c r="G45" s="31">
        <v>0</v>
      </c>
      <c r="H45" s="21">
        <v>39014</v>
      </c>
      <c r="I45" s="21">
        <v>303116</v>
      </c>
      <c r="J45" s="21"/>
      <c r="K45" s="21"/>
      <c r="L45" s="33">
        <v>4904</v>
      </c>
      <c r="M45" s="34">
        <v>35624</v>
      </c>
      <c r="N45" s="33">
        <v>0</v>
      </c>
      <c r="O45" s="21">
        <v>2700</v>
      </c>
      <c r="P45" s="21"/>
      <c r="Q45" s="21"/>
      <c r="R45" s="33">
        <v>37416</v>
      </c>
      <c r="S45" s="21">
        <v>288135</v>
      </c>
      <c r="T45" s="21">
        <v>436403</v>
      </c>
      <c r="U45" s="30">
        <v>4007523</v>
      </c>
    </row>
    <row r="46" spans="1:22" hidden="1">
      <c r="A46" s="24">
        <v>9110</v>
      </c>
      <c r="B46" s="12">
        <f t="shared" si="3"/>
        <v>530792</v>
      </c>
      <c r="C46" s="14">
        <f t="shared" si="4"/>
        <v>8362184</v>
      </c>
      <c r="D46" s="21">
        <v>302661</v>
      </c>
      <c r="E46" s="25">
        <v>3496955</v>
      </c>
      <c r="F46" s="35">
        <v>0</v>
      </c>
      <c r="G46" s="31">
        <v>0</v>
      </c>
      <c r="H46" s="21">
        <v>32102</v>
      </c>
      <c r="I46" s="25">
        <v>335218</v>
      </c>
      <c r="J46" s="25"/>
      <c r="K46" s="25"/>
      <c r="L46" s="21">
        <v>2978</v>
      </c>
      <c r="M46" s="25">
        <v>38602</v>
      </c>
      <c r="N46" s="33">
        <v>0</v>
      </c>
      <c r="O46" s="25">
        <v>2700</v>
      </c>
      <c r="P46" s="25"/>
      <c r="Q46" s="25"/>
      <c r="R46" s="21">
        <v>-197864</v>
      </c>
      <c r="S46" s="25">
        <v>90271</v>
      </c>
      <c r="T46" s="21">
        <v>390915</v>
      </c>
      <c r="U46" s="25">
        <v>4398438</v>
      </c>
    </row>
    <row r="47" spans="1:22" hidden="1">
      <c r="A47" s="24">
        <v>9111</v>
      </c>
      <c r="B47" s="12">
        <f t="shared" si="3"/>
        <v>639204</v>
      </c>
      <c r="C47" s="14">
        <f t="shared" si="4"/>
        <v>9001388</v>
      </c>
      <c r="D47" s="21">
        <v>146186</v>
      </c>
      <c r="E47" s="25">
        <v>3643141</v>
      </c>
      <c r="F47" s="35">
        <v>0</v>
      </c>
      <c r="G47" s="31">
        <v>0</v>
      </c>
      <c r="H47" s="21">
        <v>36514</v>
      </c>
      <c r="I47" s="25">
        <v>371731</v>
      </c>
      <c r="J47" s="25"/>
      <c r="K47" s="25"/>
      <c r="L47" s="21">
        <v>4333</v>
      </c>
      <c r="M47" s="25">
        <v>42935</v>
      </c>
      <c r="N47" s="33">
        <v>0</v>
      </c>
      <c r="O47" s="25">
        <v>2700</v>
      </c>
      <c r="P47" s="25"/>
      <c r="Q47" s="25"/>
      <c r="R47" s="21">
        <v>3408</v>
      </c>
      <c r="S47" s="25">
        <v>93680</v>
      </c>
      <c r="T47" s="21">
        <v>448763</v>
      </c>
      <c r="U47" s="25">
        <v>4847201</v>
      </c>
    </row>
    <row r="48" spans="1:22" hidden="1">
      <c r="A48" s="24">
        <v>9112</v>
      </c>
      <c r="B48" s="12">
        <f t="shared" si="3"/>
        <v>1741019</v>
      </c>
      <c r="C48" s="14">
        <f t="shared" si="4"/>
        <v>10742407</v>
      </c>
      <c r="D48" s="21">
        <v>348644</v>
      </c>
      <c r="E48" s="25">
        <v>3991785</v>
      </c>
      <c r="F48" s="35">
        <v>0</v>
      </c>
      <c r="G48" s="35">
        <v>0</v>
      </c>
      <c r="H48" s="21">
        <v>111781</v>
      </c>
      <c r="I48" s="25">
        <v>483512</v>
      </c>
      <c r="J48" s="25"/>
      <c r="K48" s="25"/>
      <c r="L48" s="21">
        <v>15954</v>
      </c>
      <c r="M48" s="25">
        <v>58890</v>
      </c>
      <c r="N48" s="33">
        <v>0</v>
      </c>
      <c r="O48" s="25">
        <v>2700</v>
      </c>
      <c r="P48" s="25"/>
      <c r="Q48" s="25"/>
      <c r="R48" s="21">
        <v>9759</v>
      </c>
      <c r="S48" s="25">
        <v>103438</v>
      </c>
      <c r="T48" s="21">
        <v>1254881</v>
      </c>
      <c r="U48" s="25">
        <v>6102082</v>
      </c>
    </row>
    <row r="49" spans="1:21" hidden="1">
      <c r="A49" s="36">
        <v>9201</v>
      </c>
      <c r="B49" s="12">
        <f t="shared" si="3"/>
        <v>1646100</v>
      </c>
      <c r="C49" s="14">
        <f t="shared" si="4"/>
        <v>1646100</v>
      </c>
      <c r="D49" s="14">
        <v>388538</v>
      </c>
      <c r="E49" s="14">
        <v>388538</v>
      </c>
      <c r="F49" s="14">
        <v>0</v>
      </c>
      <c r="G49" s="14">
        <v>0</v>
      </c>
      <c r="H49" s="14">
        <v>9367</v>
      </c>
      <c r="I49" s="14">
        <v>9367</v>
      </c>
      <c r="J49" s="14">
        <v>0</v>
      </c>
      <c r="K49" s="14">
        <v>0</v>
      </c>
      <c r="L49" s="14">
        <v>84</v>
      </c>
      <c r="M49" s="14">
        <v>84</v>
      </c>
      <c r="N49" s="14">
        <v>0</v>
      </c>
      <c r="O49" s="14">
        <v>0</v>
      </c>
      <c r="P49" s="14"/>
      <c r="Q49" s="14"/>
      <c r="R49" s="14">
        <v>27021</v>
      </c>
      <c r="S49" s="14">
        <v>27021</v>
      </c>
      <c r="T49" s="14">
        <v>1221090</v>
      </c>
      <c r="U49" s="14">
        <v>1221090</v>
      </c>
    </row>
    <row r="50" spans="1:21" hidden="1">
      <c r="A50" s="36">
        <v>9202</v>
      </c>
      <c r="B50" s="12">
        <f t="shared" si="3"/>
        <v>468639</v>
      </c>
      <c r="C50" s="12">
        <f t="shared" si="4"/>
        <v>2114739</v>
      </c>
      <c r="D50" s="12">
        <v>62144</v>
      </c>
      <c r="E50" s="12">
        <v>450682</v>
      </c>
      <c r="F50" s="12">
        <v>0</v>
      </c>
      <c r="G50" s="12">
        <v>0</v>
      </c>
      <c r="H50" s="12">
        <v>25158</v>
      </c>
      <c r="I50" s="12">
        <v>34524</v>
      </c>
      <c r="J50" s="14">
        <v>0</v>
      </c>
      <c r="K50" s="14">
        <v>0</v>
      </c>
      <c r="L50" s="12">
        <v>2769</v>
      </c>
      <c r="M50" s="12">
        <v>2852</v>
      </c>
      <c r="N50" s="12">
        <v>0</v>
      </c>
      <c r="O50" s="12">
        <v>0</v>
      </c>
      <c r="P50" s="12"/>
      <c r="Q50" s="12"/>
      <c r="R50" s="12">
        <v>290520</v>
      </c>
      <c r="S50" s="12">
        <v>317542</v>
      </c>
      <c r="T50" s="12">
        <v>88048</v>
      </c>
      <c r="U50" s="14">
        <v>1309139</v>
      </c>
    </row>
    <row r="51" spans="1:21" hidden="1">
      <c r="A51" s="36">
        <v>9203</v>
      </c>
      <c r="B51" s="12">
        <f t="shared" si="3"/>
        <v>645239</v>
      </c>
      <c r="C51" s="12">
        <f t="shared" si="4"/>
        <v>2759978</v>
      </c>
      <c r="D51" s="12">
        <v>229024</v>
      </c>
      <c r="E51" s="12">
        <v>679706</v>
      </c>
      <c r="F51" s="12">
        <v>0</v>
      </c>
      <c r="G51" s="12">
        <v>0</v>
      </c>
      <c r="H51" s="12">
        <v>37185</v>
      </c>
      <c r="I51" s="12">
        <v>71709</v>
      </c>
      <c r="J51" s="14">
        <v>0</v>
      </c>
      <c r="K51" s="14">
        <v>0</v>
      </c>
      <c r="L51" s="12">
        <v>3472</v>
      </c>
      <c r="M51" s="12">
        <v>6325</v>
      </c>
      <c r="N51" s="12">
        <v>0</v>
      </c>
      <c r="O51" s="12">
        <v>0</v>
      </c>
      <c r="P51" s="12"/>
      <c r="Q51" s="12"/>
      <c r="R51" s="12">
        <v>29999</v>
      </c>
      <c r="S51" s="12">
        <v>347540</v>
      </c>
      <c r="T51" s="12">
        <v>345559</v>
      </c>
      <c r="U51" s="14">
        <v>1654698</v>
      </c>
    </row>
    <row r="52" spans="1:21" hidden="1">
      <c r="A52" s="36">
        <v>9204</v>
      </c>
      <c r="B52" s="12">
        <f t="shared" si="3"/>
        <v>1021432</v>
      </c>
      <c r="C52" s="12">
        <f t="shared" si="4"/>
        <v>3781410</v>
      </c>
      <c r="D52" s="12">
        <v>381015</v>
      </c>
      <c r="E52" s="12">
        <v>1060722</v>
      </c>
      <c r="F52" s="12">
        <v>0</v>
      </c>
      <c r="G52" s="12">
        <v>0</v>
      </c>
      <c r="H52" s="12">
        <v>31872</v>
      </c>
      <c r="I52" s="12">
        <v>103581</v>
      </c>
      <c r="J52" s="14">
        <v>0</v>
      </c>
      <c r="K52" s="14">
        <v>0</v>
      </c>
      <c r="L52" s="12">
        <v>9372</v>
      </c>
      <c r="M52" s="12">
        <v>15696</v>
      </c>
      <c r="N52" s="12">
        <v>0</v>
      </c>
      <c r="O52" s="12">
        <v>0</v>
      </c>
      <c r="P52" s="12"/>
      <c r="Q52" s="12"/>
      <c r="R52" s="12">
        <v>24480</v>
      </c>
      <c r="S52" s="12">
        <v>372020</v>
      </c>
      <c r="T52" s="12">
        <v>574693</v>
      </c>
      <c r="U52" s="14">
        <v>2229391</v>
      </c>
    </row>
    <row r="53" spans="1:21" hidden="1">
      <c r="A53" s="36">
        <v>9205</v>
      </c>
      <c r="B53" s="12">
        <f t="shared" si="3"/>
        <v>1249703</v>
      </c>
      <c r="C53" s="12">
        <f t="shared" si="4"/>
        <v>5031114</v>
      </c>
      <c r="D53" s="12">
        <v>736744</v>
      </c>
      <c r="E53" s="12">
        <v>1797466</v>
      </c>
      <c r="F53" s="12">
        <v>0</v>
      </c>
      <c r="G53" s="12">
        <v>0</v>
      </c>
      <c r="H53" s="12">
        <v>37174</v>
      </c>
      <c r="I53" s="12">
        <v>140756</v>
      </c>
      <c r="J53" s="14">
        <v>0</v>
      </c>
      <c r="K53" s="14">
        <v>0</v>
      </c>
      <c r="L53" s="12">
        <v>2458</v>
      </c>
      <c r="M53" s="12">
        <v>18155</v>
      </c>
      <c r="N53" s="12">
        <v>0</v>
      </c>
      <c r="O53" s="12">
        <v>0</v>
      </c>
      <c r="P53" s="12"/>
      <c r="Q53" s="12"/>
      <c r="R53" s="12">
        <v>33329</v>
      </c>
      <c r="S53" s="12">
        <v>405349</v>
      </c>
      <c r="T53" s="12">
        <v>439998</v>
      </c>
      <c r="U53" s="14">
        <v>2669388</v>
      </c>
    </row>
    <row r="54" spans="1:21" hidden="1">
      <c r="A54" s="36">
        <v>9206</v>
      </c>
      <c r="B54" s="12">
        <f t="shared" si="3"/>
        <v>825012</v>
      </c>
      <c r="C54" s="12">
        <f t="shared" si="4"/>
        <v>5856126</v>
      </c>
      <c r="D54" s="12">
        <v>333854</v>
      </c>
      <c r="E54" s="12">
        <v>2131319</v>
      </c>
      <c r="F54" s="12">
        <v>0</v>
      </c>
      <c r="G54" s="12">
        <v>0</v>
      </c>
      <c r="H54" s="12">
        <v>40224</v>
      </c>
      <c r="I54" s="12">
        <v>180980</v>
      </c>
      <c r="J54" s="14">
        <v>0</v>
      </c>
      <c r="K54" s="14">
        <v>0</v>
      </c>
      <c r="L54" s="12">
        <v>-1345</v>
      </c>
      <c r="M54" s="12">
        <v>16810</v>
      </c>
      <c r="N54" s="12">
        <v>0</v>
      </c>
      <c r="O54" s="12">
        <v>0</v>
      </c>
      <c r="P54" s="12"/>
      <c r="Q54" s="12"/>
      <c r="R54" s="12">
        <v>19388</v>
      </c>
      <c r="S54" s="12">
        <v>424737</v>
      </c>
      <c r="T54" s="12">
        <v>432891</v>
      </c>
      <c r="U54" s="14">
        <v>3102280</v>
      </c>
    </row>
    <row r="55" spans="1:21" hidden="1">
      <c r="A55" s="36">
        <v>9207</v>
      </c>
      <c r="B55" s="12">
        <f t="shared" si="3"/>
        <v>786172</v>
      </c>
      <c r="C55" s="12">
        <f t="shared" si="4"/>
        <v>6642298</v>
      </c>
      <c r="D55" s="12">
        <v>270455</v>
      </c>
      <c r="E55" s="12">
        <v>2401774</v>
      </c>
      <c r="F55" s="12">
        <v>0</v>
      </c>
      <c r="G55" s="12">
        <v>0</v>
      </c>
      <c r="H55" s="12">
        <v>45234</v>
      </c>
      <c r="I55" s="12">
        <v>226214</v>
      </c>
      <c r="J55" s="14">
        <v>0</v>
      </c>
      <c r="K55" s="14">
        <v>0</v>
      </c>
      <c r="L55" s="12">
        <v>12853</v>
      </c>
      <c r="M55" s="12">
        <v>29663</v>
      </c>
      <c r="N55" s="12">
        <v>0</v>
      </c>
      <c r="O55" s="12">
        <v>0</v>
      </c>
      <c r="P55" s="12"/>
      <c r="Q55" s="12"/>
      <c r="R55" s="12">
        <v>25507</v>
      </c>
      <c r="S55" s="12">
        <v>450245</v>
      </c>
      <c r="T55" s="12">
        <v>432123</v>
      </c>
      <c r="U55" s="14">
        <v>3534402</v>
      </c>
    </row>
    <row r="56" spans="1:21" hidden="1">
      <c r="A56" s="36">
        <v>9208</v>
      </c>
      <c r="B56" s="12">
        <f t="shared" si="3"/>
        <v>904258</v>
      </c>
      <c r="C56" s="12">
        <f t="shared" si="4"/>
        <v>7546557</v>
      </c>
      <c r="D56" s="12">
        <v>282451</v>
      </c>
      <c r="E56" s="12">
        <v>2684226</v>
      </c>
      <c r="F56" s="12">
        <v>0</v>
      </c>
      <c r="G56" s="12">
        <v>0</v>
      </c>
      <c r="H56" s="12">
        <v>31463</v>
      </c>
      <c r="I56" s="12">
        <v>257678</v>
      </c>
      <c r="J56" s="14">
        <v>0</v>
      </c>
      <c r="K56" s="14">
        <v>0</v>
      </c>
      <c r="L56" s="12">
        <v>1071</v>
      </c>
      <c r="M56" s="12">
        <v>30734</v>
      </c>
      <c r="N56" s="12">
        <v>0</v>
      </c>
      <c r="O56" s="12">
        <v>0</v>
      </c>
      <c r="P56" s="12"/>
      <c r="Q56" s="12"/>
      <c r="R56" s="12">
        <v>18236</v>
      </c>
      <c r="S56" s="12">
        <v>468480</v>
      </c>
      <c r="T56" s="12">
        <v>571037</v>
      </c>
      <c r="U56" s="14">
        <v>4105439</v>
      </c>
    </row>
    <row r="57" spans="1:21" hidden="1">
      <c r="A57" s="36">
        <v>9209</v>
      </c>
      <c r="B57" s="12">
        <f t="shared" si="3"/>
        <v>761549</v>
      </c>
      <c r="C57" s="12">
        <f t="shared" si="4"/>
        <v>8308106</v>
      </c>
      <c r="D57" s="12">
        <v>246279</v>
      </c>
      <c r="E57" s="12">
        <v>2930504</v>
      </c>
      <c r="F57" s="12">
        <v>0</v>
      </c>
      <c r="G57" s="12">
        <v>0</v>
      </c>
      <c r="H57" s="12">
        <v>26517</v>
      </c>
      <c r="I57" s="12">
        <v>284195</v>
      </c>
      <c r="J57" s="14">
        <v>0</v>
      </c>
      <c r="K57" s="14">
        <v>0</v>
      </c>
      <c r="L57" s="12">
        <v>2529</v>
      </c>
      <c r="M57" s="12">
        <v>33263</v>
      </c>
      <c r="N57" s="12">
        <v>3809</v>
      </c>
      <c r="O57" s="12">
        <v>3809</v>
      </c>
      <c r="P57" s="12"/>
      <c r="Q57" s="12"/>
      <c r="R57" s="12">
        <v>25413</v>
      </c>
      <c r="S57" s="12">
        <v>493894</v>
      </c>
      <c r="T57" s="12">
        <v>457002</v>
      </c>
      <c r="U57" s="14">
        <v>4562441</v>
      </c>
    </row>
    <row r="58" spans="1:21" hidden="1">
      <c r="A58" s="36">
        <v>9210</v>
      </c>
      <c r="B58" s="12">
        <f t="shared" si="3"/>
        <v>938274</v>
      </c>
      <c r="C58" s="12">
        <f t="shared" si="4"/>
        <v>9246380</v>
      </c>
      <c r="D58" s="12">
        <v>274996</v>
      </c>
      <c r="E58" s="12">
        <v>3205501</v>
      </c>
      <c r="F58" s="12">
        <v>0</v>
      </c>
      <c r="G58" s="12">
        <v>0</v>
      </c>
      <c r="H58" s="12">
        <v>31955</v>
      </c>
      <c r="I58" s="12">
        <v>316150</v>
      </c>
      <c r="J58" s="14">
        <v>0</v>
      </c>
      <c r="K58" s="14">
        <v>0</v>
      </c>
      <c r="L58" s="12">
        <v>7476</v>
      </c>
      <c r="M58" s="12">
        <v>40739</v>
      </c>
      <c r="N58" s="12">
        <v>0</v>
      </c>
      <c r="O58" s="12">
        <v>3809</v>
      </c>
      <c r="P58" s="12"/>
      <c r="Q58" s="12"/>
      <c r="R58" s="12">
        <v>65041</v>
      </c>
      <c r="S58" s="12">
        <v>558934</v>
      </c>
      <c r="T58" s="12">
        <v>558806</v>
      </c>
      <c r="U58" s="14">
        <v>5121247</v>
      </c>
    </row>
    <row r="59" spans="1:21" hidden="1">
      <c r="A59" s="36">
        <v>9211</v>
      </c>
      <c r="B59" s="12">
        <f t="shared" si="3"/>
        <v>754870</v>
      </c>
      <c r="C59" s="12">
        <f t="shared" si="4"/>
        <v>10001250</v>
      </c>
      <c r="D59" s="12">
        <v>231439</v>
      </c>
      <c r="E59" s="12">
        <v>3436940</v>
      </c>
      <c r="F59" s="12">
        <v>0</v>
      </c>
      <c r="G59" s="12">
        <v>0</v>
      </c>
      <c r="H59" s="12">
        <v>40761</v>
      </c>
      <c r="I59" s="12">
        <v>356910</v>
      </c>
      <c r="J59" s="14">
        <v>0</v>
      </c>
      <c r="K59" s="14">
        <v>0</v>
      </c>
      <c r="L59" s="12">
        <v>10425</v>
      </c>
      <c r="M59" s="12">
        <v>51164</v>
      </c>
      <c r="N59" s="12">
        <v>0</v>
      </c>
      <c r="O59" s="12">
        <v>3809</v>
      </c>
      <c r="P59" s="12"/>
      <c r="Q59" s="12"/>
      <c r="R59" s="12">
        <v>16222</v>
      </c>
      <c r="S59" s="12">
        <v>575157</v>
      </c>
      <c r="T59" s="12">
        <v>456023</v>
      </c>
      <c r="U59" s="14">
        <v>5577270</v>
      </c>
    </row>
    <row r="60" spans="1:21" hidden="1">
      <c r="A60" s="36">
        <v>9212</v>
      </c>
      <c r="B60" s="12">
        <f t="shared" ref="B60:B105" si="5">SUM(D60,F60,H60,J60,L60,N60,R60,T60)</f>
        <v>1525824</v>
      </c>
      <c r="C60" s="12">
        <f t="shared" ref="C60:C105" si="6">SUM(E60,G60,I60,K60,M60,O60,S60,U60,W60)</f>
        <v>11527074</v>
      </c>
      <c r="D60" s="12">
        <v>320290</v>
      </c>
      <c r="E60" s="12">
        <v>3757230</v>
      </c>
      <c r="F60" s="12">
        <v>563</v>
      </c>
      <c r="G60" s="12">
        <v>563</v>
      </c>
      <c r="H60" s="12">
        <v>98616</v>
      </c>
      <c r="I60" s="12">
        <v>455527</v>
      </c>
      <c r="J60" s="12">
        <v>399</v>
      </c>
      <c r="K60" s="12">
        <v>399</v>
      </c>
      <c r="L60" s="12">
        <v>6549</v>
      </c>
      <c r="M60" s="12">
        <v>57712</v>
      </c>
      <c r="N60" s="12">
        <v>1098</v>
      </c>
      <c r="O60" s="12">
        <v>4907</v>
      </c>
      <c r="P60" s="12"/>
      <c r="Q60" s="12"/>
      <c r="R60" s="12">
        <v>55799</v>
      </c>
      <c r="S60" s="12">
        <v>630956</v>
      </c>
      <c r="T60" s="12">
        <v>1042510</v>
      </c>
      <c r="U60" s="14">
        <v>6619780</v>
      </c>
    </row>
    <row r="61" spans="1:21" hidden="1">
      <c r="A61" s="36">
        <v>9301</v>
      </c>
      <c r="B61" s="12">
        <f t="shared" si="5"/>
        <v>1190329</v>
      </c>
      <c r="C61" s="12">
        <f t="shared" si="6"/>
        <v>1190329</v>
      </c>
      <c r="D61" s="12">
        <v>514473</v>
      </c>
      <c r="E61" s="12">
        <v>514473</v>
      </c>
      <c r="F61" s="12">
        <v>0</v>
      </c>
      <c r="G61" s="12">
        <v>0</v>
      </c>
      <c r="H61" s="12">
        <v>13252</v>
      </c>
      <c r="I61" s="12">
        <v>13252</v>
      </c>
      <c r="J61" s="12">
        <v>0</v>
      </c>
      <c r="K61" s="12">
        <v>0</v>
      </c>
      <c r="L61" s="12">
        <v>104</v>
      </c>
      <c r="M61" s="12">
        <v>104</v>
      </c>
      <c r="N61" s="12">
        <v>0</v>
      </c>
      <c r="O61" s="12">
        <v>0</v>
      </c>
      <c r="P61" s="12"/>
      <c r="Q61" s="12"/>
      <c r="R61" s="12">
        <v>17415</v>
      </c>
      <c r="S61" s="12">
        <v>17415</v>
      </c>
      <c r="T61" s="12">
        <v>645085</v>
      </c>
      <c r="U61" s="15">
        <v>645085</v>
      </c>
    </row>
    <row r="62" spans="1:21" hidden="1">
      <c r="A62" s="36">
        <v>9302</v>
      </c>
      <c r="B62" s="12">
        <f t="shared" si="5"/>
        <v>973404</v>
      </c>
      <c r="C62" s="12">
        <f t="shared" si="6"/>
        <v>2163733</v>
      </c>
      <c r="D62" s="12">
        <v>191146</v>
      </c>
      <c r="E62" s="12">
        <v>705619</v>
      </c>
      <c r="F62" s="12">
        <v>0</v>
      </c>
      <c r="G62" s="12">
        <v>0</v>
      </c>
      <c r="H62" s="12">
        <v>70751</v>
      </c>
      <c r="I62" s="12">
        <v>84003</v>
      </c>
      <c r="J62" s="12">
        <v>0</v>
      </c>
      <c r="K62" s="12">
        <v>0</v>
      </c>
      <c r="L62" s="12">
        <v>1054</v>
      </c>
      <c r="M62" s="12">
        <v>1158</v>
      </c>
      <c r="N62" s="12">
        <v>0</v>
      </c>
      <c r="O62" s="12">
        <v>0</v>
      </c>
      <c r="P62" s="12"/>
      <c r="Q62" s="12"/>
      <c r="R62" s="12">
        <v>6548</v>
      </c>
      <c r="S62" s="12">
        <v>23963</v>
      </c>
      <c r="T62" s="12">
        <v>703905</v>
      </c>
      <c r="U62" s="15">
        <v>1348990</v>
      </c>
    </row>
    <row r="63" spans="1:21" hidden="1">
      <c r="A63" s="36">
        <v>9303</v>
      </c>
      <c r="B63" s="12">
        <f t="shared" si="5"/>
        <v>901224</v>
      </c>
      <c r="C63" s="12">
        <f t="shared" si="6"/>
        <v>3064957</v>
      </c>
      <c r="D63" s="12">
        <v>259063</v>
      </c>
      <c r="E63" s="12">
        <v>964682</v>
      </c>
      <c r="F63" s="12">
        <v>0</v>
      </c>
      <c r="G63" s="12">
        <v>0</v>
      </c>
      <c r="H63" s="12">
        <v>48951</v>
      </c>
      <c r="I63" s="12">
        <v>132954</v>
      </c>
      <c r="J63" s="12">
        <v>0</v>
      </c>
      <c r="K63" s="12">
        <v>0</v>
      </c>
      <c r="L63" s="12">
        <v>5601</v>
      </c>
      <c r="M63" s="12">
        <v>6759</v>
      </c>
      <c r="N63" s="12">
        <v>0</v>
      </c>
      <c r="O63" s="12">
        <v>0</v>
      </c>
      <c r="P63" s="12"/>
      <c r="Q63" s="12"/>
      <c r="R63" s="12">
        <v>24516</v>
      </c>
      <c r="S63" s="12">
        <v>48479</v>
      </c>
      <c r="T63" s="12">
        <v>563093</v>
      </c>
      <c r="U63" s="37">
        <v>1912083</v>
      </c>
    </row>
    <row r="64" spans="1:21" hidden="1">
      <c r="A64" s="36">
        <v>9304</v>
      </c>
      <c r="B64" s="12">
        <f t="shared" si="5"/>
        <v>822334</v>
      </c>
      <c r="C64" s="12">
        <f t="shared" si="6"/>
        <v>3887291</v>
      </c>
      <c r="D64" s="12">
        <v>415939</v>
      </c>
      <c r="E64" s="12">
        <v>1380620</v>
      </c>
      <c r="F64" s="12">
        <v>0</v>
      </c>
      <c r="G64" s="12">
        <v>0</v>
      </c>
      <c r="H64" s="12">
        <v>55312</v>
      </c>
      <c r="I64" s="12">
        <v>188267</v>
      </c>
      <c r="J64" s="12">
        <v>0</v>
      </c>
      <c r="K64" s="12">
        <v>0</v>
      </c>
      <c r="L64" s="38">
        <v>-921</v>
      </c>
      <c r="M64" s="12">
        <v>5839</v>
      </c>
      <c r="N64" s="12">
        <v>0</v>
      </c>
      <c r="O64" s="12">
        <v>0</v>
      </c>
      <c r="P64" s="12"/>
      <c r="Q64" s="12"/>
      <c r="R64" s="12">
        <v>37666</v>
      </c>
      <c r="S64" s="12">
        <v>86144</v>
      </c>
      <c r="T64" s="12">
        <v>314338</v>
      </c>
      <c r="U64" s="37">
        <v>2226421</v>
      </c>
    </row>
    <row r="65" spans="1:21" hidden="1">
      <c r="A65" s="36">
        <v>9305</v>
      </c>
      <c r="B65" s="12">
        <f t="shared" si="5"/>
        <v>1289484</v>
      </c>
      <c r="C65" s="12">
        <f t="shared" si="6"/>
        <v>5176774</v>
      </c>
      <c r="D65" s="12">
        <v>630921</v>
      </c>
      <c r="E65" s="12">
        <v>2011541</v>
      </c>
      <c r="F65" s="12">
        <v>133</v>
      </c>
      <c r="G65" s="12">
        <v>133</v>
      </c>
      <c r="H65" s="12">
        <v>35753</v>
      </c>
      <c r="I65" s="12">
        <v>224019</v>
      </c>
      <c r="J65" s="12">
        <v>0</v>
      </c>
      <c r="K65" s="12">
        <v>0</v>
      </c>
      <c r="L65" s="12">
        <v>1115</v>
      </c>
      <c r="M65" s="12">
        <v>6954</v>
      </c>
      <c r="N65" s="12">
        <v>0</v>
      </c>
      <c r="O65" s="12">
        <v>0</v>
      </c>
      <c r="P65" s="12"/>
      <c r="Q65" s="12"/>
      <c r="R65" s="12">
        <v>22746</v>
      </c>
      <c r="S65" s="12">
        <v>108890</v>
      </c>
      <c r="T65" s="12">
        <v>598816</v>
      </c>
      <c r="U65" s="37">
        <v>2825237</v>
      </c>
    </row>
    <row r="66" spans="1:21" hidden="1">
      <c r="A66" s="36">
        <v>9306</v>
      </c>
      <c r="B66" s="12">
        <f t="shared" si="5"/>
        <v>975656</v>
      </c>
      <c r="C66" s="12">
        <f t="shared" si="6"/>
        <v>6152430</v>
      </c>
      <c r="D66" s="12">
        <v>364080</v>
      </c>
      <c r="E66" s="12">
        <v>2375621</v>
      </c>
      <c r="F66" s="12">
        <v>0</v>
      </c>
      <c r="G66" s="12">
        <v>134</v>
      </c>
      <c r="H66" s="12">
        <v>33977</v>
      </c>
      <c r="I66" s="12">
        <v>257996</v>
      </c>
      <c r="J66" s="12">
        <v>0</v>
      </c>
      <c r="K66" s="12">
        <v>0</v>
      </c>
      <c r="L66" s="12">
        <v>3173</v>
      </c>
      <c r="M66" s="12">
        <v>10127</v>
      </c>
      <c r="N66" s="12">
        <v>850</v>
      </c>
      <c r="O66" s="12">
        <v>850</v>
      </c>
      <c r="P66" s="12"/>
      <c r="Q66" s="12"/>
      <c r="R66" s="12">
        <v>23951</v>
      </c>
      <c r="S66" s="12">
        <v>132840</v>
      </c>
      <c r="T66" s="12">
        <v>549625</v>
      </c>
      <c r="U66" s="37">
        <v>3374862</v>
      </c>
    </row>
    <row r="67" spans="1:21" hidden="1">
      <c r="A67" s="36">
        <v>9307</v>
      </c>
      <c r="B67" s="12">
        <f t="shared" si="5"/>
        <v>757349</v>
      </c>
      <c r="C67" s="12">
        <f t="shared" si="6"/>
        <v>6899779</v>
      </c>
      <c r="D67" s="12">
        <v>292939</v>
      </c>
      <c r="E67" s="12">
        <v>2658560</v>
      </c>
      <c r="F67" s="12">
        <v>0</v>
      </c>
      <c r="G67" s="12">
        <v>134</v>
      </c>
      <c r="H67" s="12">
        <v>42438</v>
      </c>
      <c r="I67" s="12">
        <v>300434</v>
      </c>
      <c r="J67" s="12">
        <v>0</v>
      </c>
      <c r="K67" s="12">
        <v>0</v>
      </c>
      <c r="L67" s="12">
        <v>3259</v>
      </c>
      <c r="M67" s="12">
        <v>13386</v>
      </c>
      <c r="N67" s="12">
        <v>0</v>
      </c>
      <c r="O67" s="12">
        <v>850</v>
      </c>
      <c r="P67" s="12"/>
      <c r="Q67" s="12"/>
      <c r="R67" s="12">
        <v>32173</v>
      </c>
      <c r="S67" s="12">
        <v>165013</v>
      </c>
      <c r="T67" s="12">
        <v>386540</v>
      </c>
      <c r="U67" s="37">
        <v>3761402</v>
      </c>
    </row>
    <row r="68" spans="1:21" hidden="1">
      <c r="A68" s="36">
        <v>9308</v>
      </c>
      <c r="B68" s="12">
        <f t="shared" si="5"/>
        <v>884419</v>
      </c>
      <c r="C68" s="12">
        <f t="shared" si="6"/>
        <v>7784198</v>
      </c>
      <c r="D68" s="12">
        <v>233638</v>
      </c>
      <c r="E68" s="12">
        <v>2892198</v>
      </c>
      <c r="F68" s="12">
        <v>1335</v>
      </c>
      <c r="G68" s="12">
        <v>1468</v>
      </c>
      <c r="H68" s="12">
        <v>44044</v>
      </c>
      <c r="I68" s="12">
        <v>344478</v>
      </c>
      <c r="J68" s="12">
        <v>0</v>
      </c>
      <c r="K68" s="12">
        <v>0</v>
      </c>
      <c r="L68" s="12">
        <v>2671</v>
      </c>
      <c r="M68" s="12">
        <v>16057</v>
      </c>
      <c r="N68" s="12">
        <v>4349</v>
      </c>
      <c r="O68" s="12">
        <v>5199</v>
      </c>
      <c r="P68" s="12"/>
      <c r="Q68" s="12"/>
      <c r="R68" s="12">
        <v>136</v>
      </c>
      <c r="S68" s="12">
        <v>165150</v>
      </c>
      <c r="T68" s="12">
        <v>598246</v>
      </c>
      <c r="U68" s="37">
        <v>4359648</v>
      </c>
    </row>
    <row r="69" spans="1:21" hidden="1">
      <c r="A69" s="36">
        <v>9309</v>
      </c>
      <c r="B69" s="12">
        <f t="shared" si="5"/>
        <v>915021</v>
      </c>
      <c r="C69" s="12">
        <f t="shared" si="6"/>
        <v>8699220</v>
      </c>
      <c r="D69" s="12">
        <v>240922</v>
      </c>
      <c r="E69" s="12">
        <v>3133121</v>
      </c>
      <c r="F69" s="12">
        <v>0</v>
      </c>
      <c r="G69" s="12">
        <v>1468</v>
      </c>
      <c r="H69" s="12">
        <v>35106</v>
      </c>
      <c r="I69" s="12">
        <v>379584</v>
      </c>
      <c r="J69" s="12">
        <v>0</v>
      </c>
      <c r="K69" s="12">
        <v>0</v>
      </c>
      <c r="L69" s="12">
        <v>10120</v>
      </c>
      <c r="M69" s="12">
        <v>26177</v>
      </c>
      <c r="N69" s="12">
        <v>0</v>
      </c>
      <c r="O69" s="12">
        <v>5199</v>
      </c>
      <c r="P69" s="12"/>
      <c r="Q69" s="12"/>
      <c r="R69" s="12">
        <v>1749</v>
      </c>
      <c r="S69" s="12">
        <v>166899</v>
      </c>
      <c r="T69" s="12">
        <v>627124</v>
      </c>
      <c r="U69" s="14">
        <v>4986772</v>
      </c>
    </row>
    <row r="70" spans="1:21" hidden="1">
      <c r="A70" s="36">
        <v>9310</v>
      </c>
      <c r="B70" s="12">
        <f t="shared" si="5"/>
        <v>779107</v>
      </c>
      <c r="C70" s="12">
        <f t="shared" si="6"/>
        <v>9478327</v>
      </c>
      <c r="D70" s="12">
        <v>238451</v>
      </c>
      <c r="E70" s="12">
        <v>3371572</v>
      </c>
      <c r="F70" s="12">
        <v>0</v>
      </c>
      <c r="G70" s="12">
        <v>1468</v>
      </c>
      <c r="H70" s="12">
        <v>37542</v>
      </c>
      <c r="I70" s="12">
        <v>417126</v>
      </c>
      <c r="J70" s="12">
        <v>0</v>
      </c>
      <c r="K70" s="12">
        <v>0</v>
      </c>
      <c r="L70" s="12">
        <v>4830</v>
      </c>
      <c r="M70" s="12">
        <v>31007</v>
      </c>
      <c r="N70" s="12">
        <v>0</v>
      </c>
      <c r="O70" s="12">
        <v>5199</v>
      </c>
      <c r="P70" s="12"/>
      <c r="Q70" s="12"/>
      <c r="R70" s="12">
        <v>18243</v>
      </c>
      <c r="S70" s="12">
        <v>185142</v>
      </c>
      <c r="T70" s="12">
        <v>480041</v>
      </c>
      <c r="U70" s="14">
        <v>5466813</v>
      </c>
    </row>
    <row r="71" spans="1:21" hidden="1">
      <c r="A71" s="36">
        <v>9311</v>
      </c>
      <c r="B71" s="12">
        <f t="shared" si="5"/>
        <v>881712</v>
      </c>
      <c r="C71" s="12">
        <f t="shared" si="6"/>
        <v>10360039</v>
      </c>
      <c r="D71" s="12">
        <v>307534</v>
      </c>
      <c r="E71" s="12">
        <v>3679106</v>
      </c>
      <c r="F71" s="12">
        <v>0</v>
      </c>
      <c r="G71" s="12">
        <v>1468</v>
      </c>
      <c r="H71" s="12">
        <v>47291</v>
      </c>
      <c r="I71" s="12">
        <v>464417</v>
      </c>
      <c r="J71" s="12">
        <v>0</v>
      </c>
      <c r="K71" s="12">
        <v>0</v>
      </c>
      <c r="L71" s="12">
        <v>6195</v>
      </c>
      <c r="M71" s="12">
        <v>37202</v>
      </c>
      <c r="N71" s="12">
        <v>0</v>
      </c>
      <c r="O71" s="12">
        <v>5199</v>
      </c>
      <c r="P71" s="12"/>
      <c r="Q71" s="12"/>
      <c r="R71" s="12">
        <v>6128</v>
      </c>
      <c r="S71" s="12">
        <v>191270</v>
      </c>
      <c r="T71" s="12">
        <v>514564</v>
      </c>
      <c r="U71" s="14">
        <v>5981377</v>
      </c>
    </row>
    <row r="72" spans="1:21" hidden="1">
      <c r="A72" s="36">
        <v>9312</v>
      </c>
      <c r="B72" s="12">
        <f t="shared" si="5"/>
        <v>2124649</v>
      </c>
      <c r="C72" s="12">
        <f t="shared" si="6"/>
        <v>12484689</v>
      </c>
      <c r="D72" s="12">
        <v>483838</v>
      </c>
      <c r="E72" s="12">
        <v>4162944</v>
      </c>
      <c r="F72" s="12">
        <v>10</v>
      </c>
      <c r="G72" s="12">
        <v>1478</v>
      </c>
      <c r="H72" s="12">
        <v>125792</v>
      </c>
      <c r="I72" s="12">
        <v>590210</v>
      </c>
      <c r="J72" s="12">
        <v>992</v>
      </c>
      <c r="K72" s="12">
        <v>992</v>
      </c>
      <c r="L72" s="12">
        <v>10889</v>
      </c>
      <c r="M72" s="12">
        <v>48091</v>
      </c>
      <c r="N72" s="12">
        <v>1958</v>
      </c>
      <c r="O72" s="12">
        <v>7157</v>
      </c>
      <c r="P72" s="12"/>
      <c r="Q72" s="12"/>
      <c r="R72" s="12">
        <v>4387</v>
      </c>
      <c r="S72" s="12">
        <v>195657</v>
      </c>
      <c r="T72" s="12">
        <v>1496783</v>
      </c>
      <c r="U72" s="39">
        <v>7478160</v>
      </c>
    </row>
    <row r="73" spans="1:21" hidden="1">
      <c r="A73" s="36">
        <v>9401</v>
      </c>
      <c r="B73" s="12">
        <f t="shared" si="5"/>
        <v>1770404</v>
      </c>
      <c r="C73" s="12">
        <f t="shared" si="6"/>
        <v>1770404</v>
      </c>
      <c r="D73" s="12">
        <v>473724</v>
      </c>
      <c r="E73" s="12">
        <v>473724</v>
      </c>
      <c r="F73" s="12">
        <v>300</v>
      </c>
      <c r="G73" s="12">
        <v>300</v>
      </c>
      <c r="H73" s="12">
        <v>10989</v>
      </c>
      <c r="I73" s="12">
        <v>10989</v>
      </c>
      <c r="J73" s="12">
        <v>0</v>
      </c>
      <c r="K73" s="12">
        <v>0</v>
      </c>
      <c r="L73" s="12">
        <v>22</v>
      </c>
      <c r="M73" s="12">
        <v>22</v>
      </c>
      <c r="N73" s="12">
        <v>0</v>
      </c>
      <c r="O73" s="12">
        <v>0</v>
      </c>
      <c r="P73" s="12"/>
      <c r="Q73" s="12"/>
      <c r="R73" s="12">
        <v>100681</v>
      </c>
      <c r="S73" s="12">
        <v>100681</v>
      </c>
      <c r="T73" s="12">
        <v>1184688</v>
      </c>
      <c r="U73" s="39">
        <v>1184688</v>
      </c>
    </row>
    <row r="74" spans="1:21" hidden="1">
      <c r="A74" s="36">
        <v>9402</v>
      </c>
      <c r="B74" s="12">
        <f t="shared" si="5"/>
        <v>413975</v>
      </c>
      <c r="C74" s="12">
        <f t="shared" si="6"/>
        <v>2184379</v>
      </c>
      <c r="D74" s="12">
        <v>259491</v>
      </c>
      <c r="E74" s="12">
        <v>733214</v>
      </c>
      <c r="F74" s="12">
        <v>0</v>
      </c>
      <c r="G74" s="12">
        <v>300</v>
      </c>
      <c r="H74" s="12">
        <v>31845</v>
      </c>
      <c r="I74" s="12">
        <v>42835</v>
      </c>
      <c r="J74" s="12">
        <v>0</v>
      </c>
      <c r="K74" s="12">
        <v>0</v>
      </c>
      <c r="L74" s="12">
        <v>3362</v>
      </c>
      <c r="M74" s="12">
        <v>3384</v>
      </c>
      <c r="N74" s="12">
        <v>0</v>
      </c>
      <c r="O74" s="12">
        <v>0</v>
      </c>
      <c r="P74" s="12"/>
      <c r="Q74" s="12"/>
      <c r="R74" s="12">
        <v>37932</v>
      </c>
      <c r="S74" s="12">
        <v>138613</v>
      </c>
      <c r="T74" s="12">
        <v>81345</v>
      </c>
      <c r="U74" s="39">
        <v>1266033</v>
      </c>
    </row>
    <row r="75" spans="1:21" hidden="1">
      <c r="A75" s="36">
        <v>9403</v>
      </c>
      <c r="B75" s="12">
        <f t="shared" si="5"/>
        <v>826853</v>
      </c>
      <c r="C75" s="12">
        <f t="shared" si="6"/>
        <v>3011232</v>
      </c>
      <c r="D75" s="12">
        <v>267385</v>
      </c>
      <c r="E75" s="12">
        <v>1000599</v>
      </c>
      <c r="F75" s="12">
        <v>0</v>
      </c>
      <c r="G75" s="12">
        <v>300</v>
      </c>
      <c r="H75" s="12">
        <v>42000</v>
      </c>
      <c r="I75" s="12">
        <v>84835</v>
      </c>
      <c r="J75" s="12">
        <v>0</v>
      </c>
      <c r="K75" s="12">
        <v>0</v>
      </c>
      <c r="L75" s="12">
        <v>16620</v>
      </c>
      <c r="M75" s="12">
        <v>20004</v>
      </c>
      <c r="N75" s="12">
        <v>0</v>
      </c>
      <c r="O75" s="12">
        <v>0</v>
      </c>
      <c r="P75" s="12"/>
      <c r="Q75" s="12"/>
      <c r="R75" s="12">
        <v>7329</v>
      </c>
      <c r="S75" s="12">
        <v>145942</v>
      </c>
      <c r="T75" s="12">
        <v>493519</v>
      </c>
      <c r="U75" s="39">
        <v>1759552</v>
      </c>
    </row>
    <row r="76" spans="1:21" hidden="1">
      <c r="A76" s="36">
        <v>9404</v>
      </c>
      <c r="B76" s="12">
        <f t="shared" si="5"/>
        <v>1016633</v>
      </c>
      <c r="C76" s="12">
        <f t="shared" si="6"/>
        <v>4027865</v>
      </c>
      <c r="D76" s="12">
        <v>444379</v>
      </c>
      <c r="E76" s="12">
        <v>1444979</v>
      </c>
      <c r="F76" s="12">
        <v>0</v>
      </c>
      <c r="G76" s="12">
        <v>300</v>
      </c>
      <c r="H76" s="12">
        <v>53641</v>
      </c>
      <c r="I76" s="12">
        <v>138476</v>
      </c>
      <c r="J76" s="12">
        <v>0</v>
      </c>
      <c r="K76" s="12">
        <v>0</v>
      </c>
      <c r="L76" s="12">
        <v>4687</v>
      </c>
      <c r="M76" s="12">
        <v>24690</v>
      </c>
      <c r="N76" s="12">
        <v>0</v>
      </c>
      <c r="O76" s="12">
        <v>0</v>
      </c>
      <c r="P76" s="12"/>
      <c r="Q76" s="12"/>
      <c r="R76" s="12">
        <v>67597</v>
      </c>
      <c r="S76" s="12">
        <v>213539</v>
      </c>
      <c r="T76" s="12">
        <v>446329</v>
      </c>
      <c r="U76" s="39">
        <v>2205881</v>
      </c>
    </row>
    <row r="77" spans="1:21" hidden="1">
      <c r="A77" s="36">
        <v>9405</v>
      </c>
      <c r="B77" s="12">
        <f t="shared" si="5"/>
        <v>1314899</v>
      </c>
      <c r="C77" s="12">
        <f t="shared" si="6"/>
        <v>5342764</v>
      </c>
      <c r="D77" s="12">
        <v>659306</v>
      </c>
      <c r="E77" s="12">
        <v>2104285</v>
      </c>
      <c r="F77" s="12">
        <v>0</v>
      </c>
      <c r="G77" s="12">
        <v>300</v>
      </c>
      <c r="H77" s="12">
        <v>40897</v>
      </c>
      <c r="I77" s="12">
        <v>179372</v>
      </c>
      <c r="J77" s="12">
        <v>0</v>
      </c>
      <c r="K77" s="12">
        <v>0</v>
      </c>
      <c r="L77" s="12">
        <v>4433</v>
      </c>
      <c r="M77" s="12">
        <v>29123</v>
      </c>
      <c r="N77" s="12">
        <v>0</v>
      </c>
      <c r="O77" s="12">
        <v>0</v>
      </c>
      <c r="P77" s="12"/>
      <c r="Q77" s="12"/>
      <c r="R77" s="12">
        <v>41902</v>
      </c>
      <c r="S77" s="12">
        <v>255441</v>
      </c>
      <c r="T77" s="12">
        <v>568361</v>
      </c>
      <c r="U77" s="39">
        <v>2774243</v>
      </c>
    </row>
    <row r="78" spans="1:21" hidden="1">
      <c r="A78" s="36">
        <v>9406</v>
      </c>
      <c r="B78" s="12">
        <f t="shared" si="5"/>
        <v>879650</v>
      </c>
      <c r="C78" s="12">
        <f t="shared" si="6"/>
        <v>6222414</v>
      </c>
      <c r="D78" s="12">
        <v>358028</v>
      </c>
      <c r="E78" s="12">
        <v>2462312</v>
      </c>
      <c r="F78" s="12">
        <v>0</v>
      </c>
      <c r="G78" s="12">
        <v>300</v>
      </c>
      <c r="H78" s="12">
        <v>48230</v>
      </c>
      <c r="I78" s="12">
        <v>227602</v>
      </c>
      <c r="J78" s="12">
        <v>0</v>
      </c>
      <c r="K78" s="12">
        <v>0</v>
      </c>
      <c r="L78" s="12">
        <v>-23</v>
      </c>
      <c r="M78" s="12">
        <v>29100</v>
      </c>
      <c r="N78" s="12">
        <v>0</v>
      </c>
      <c r="O78" s="12">
        <v>0</v>
      </c>
      <c r="P78" s="12"/>
      <c r="Q78" s="12"/>
      <c r="R78" s="12">
        <v>3002</v>
      </c>
      <c r="S78" s="12">
        <v>258444</v>
      </c>
      <c r="T78" s="12">
        <v>470413</v>
      </c>
      <c r="U78" s="39">
        <v>3244656</v>
      </c>
    </row>
    <row r="79" spans="1:21" hidden="1">
      <c r="A79" s="36">
        <v>9407</v>
      </c>
      <c r="B79" s="12">
        <f t="shared" si="5"/>
        <v>812451</v>
      </c>
      <c r="C79" s="12">
        <f t="shared" si="6"/>
        <v>7034866</v>
      </c>
      <c r="D79" s="12">
        <v>264672</v>
      </c>
      <c r="E79" s="12">
        <v>2726985</v>
      </c>
      <c r="F79" s="12">
        <v>0</v>
      </c>
      <c r="G79" s="12">
        <v>300</v>
      </c>
      <c r="H79" s="12">
        <v>49189</v>
      </c>
      <c r="I79" s="12">
        <v>276792</v>
      </c>
      <c r="J79" s="12">
        <v>0</v>
      </c>
      <c r="K79" s="12">
        <v>0</v>
      </c>
      <c r="L79" s="12">
        <v>3148</v>
      </c>
      <c r="M79" s="12">
        <v>32248</v>
      </c>
      <c r="N79" s="12">
        <v>1250</v>
      </c>
      <c r="O79" s="12">
        <v>1250</v>
      </c>
      <c r="P79" s="12"/>
      <c r="Q79" s="12"/>
      <c r="R79" s="12">
        <v>11953</v>
      </c>
      <c r="S79" s="12">
        <v>270397</v>
      </c>
      <c r="T79" s="12">
        <v>482239</v>
      </c>
      <c r="U79" s="39">
        <v>3726894</v>
      </c>
    </row>
    <row r="80" spans="1:21" hidden="1">
      <c r="A80" s="36">
        <v>9408</v>
      </c>
      <c r="B80" s="12">
        <f t="shared" si="5"/>
        <v>1105968</v>
      </c>
      <c r="C80" s="12">
        <f t="shared" si="6"/>
        <v>8140833</v>
      </c>
      <c r="D80" s="12">
        <v>269878</v>
      </c>
      <c r="E80" s="12">
        <v>2996863</v>
      </c>
      <c r="F80" s="12">
        <v>300</v>
      </c>
      <c r="G80" s="12">
        <v>600</v>
      </c>
      <c r="H80" s="12">
        <v>44790</v>
      </c>
      <c r="I80" s="12">
        <v>321581</v>
      </c>
      <c r="J80" s="12">
        <v>0</v>
      </c>
      <c r="K80" s="12">
        <v>0</v>
      </c>
      <c r="L80" s="12">
        <v>1843</v>
      </c>
      <c r="M80" s="12">
        <v>34091</v>
      </c>
      <c r="N80" s="12">
        <v>0</v>
      </c>
      <c r="O80" s="12">
        <v>1250</v>
      </c>
      <c r="P80" s="12"/>
      <c r="Q80" s="12"/>
      <c r="R80" s="12">
        <v>62957</v>
      </c>
      <c r="S80" s="12">
        <v>333354</v>
      </c>
      <c r="T80" s="12">
        <v>726200</v>
      </c>
      <c r="U80" s="39">
        <v>4453094</v>
      </c>
    </row>
    <row r="81" spans="1:21" hidden="1">
      <c r="A81" s="36">
        <v>9409</v>
      </c>
      <c r="B81" s="12">
        <f t="shared" si="5"/>
        <v>761823</v>
      </c>
      <c r="C81" s="12">
        <f t="shared" si="6"/>
        <v>8902657</v>
      </c>
      <c r="D81" s="12">
        <v>245963</v>
      </c>
      <c r="E81" s="12">
        <v>3242826</v>
      </c>
      <c r="F81" s="12">
        <v>0</v>
      </c>
      <c r="G81" s="12">
        <v>600</v>
      </c>
      <c r="H81" s="12">
        <v>51074</v>
      </c>
      <c r="I81" s="12">
        <v>372656</v>
      </c>
      <c r="J81" s="12">
        <v>0</v>
      </c>
      <c r="K81" s="12">
        <v>0</v>
      </c>
      <c r="L81" s="12">
        <v>4841</v>
      </c>
      <c r="M81" s="12">
        <v>38932</v>
      </c>
      <c r="N81" s="12">
        <v>0</v>
      </c>
      <c r="O81" s="12">
        <v>1250</v>
      </c>
      <c r="P81" s="12"/>
      <c r="Q81" s="12"/>
      <c r="R81" s="12">
        <v>840</v>
      </c>
      <c r="S81" s="12">
        <v>334193</v>
      </c>
      <c r="T81" s="12">
        <v>459105</v>
      </c>
      <c r="U81" s="39">
        <v>4912200</v>
      </c>
    </row>
    <row r="82" spans="1:21" hidden="1">
      <c r="A82" s="36">
        <v>9410</v>
      </c>
      <c r="B82" s="12">
        <f t="shared" si="5"/>
        <v>738990</v>
      </c>
      <c r="C82" s="12">
        <f t="shared" si="6"/>
        <v>9701647</v>
      </c>
      <c r="D82" s="12">
        <v>248923</v>
      </c>
      <c r="E82" s="12">
        <v>3491749</v>
      </c>
      <c r="F82" s="12">
        <v>0</v>
      </c>
      <c r="G82" s="12">
        <v>600</v>
      </c>
      <c r="H82" s="12">
        <v>46038</v>
      </c>
      <c r="I82" s="12">
        <v>418694</v>
      </c>
      <c r="J82" s="12">
        <v>0</v>
      </c>
      <c r="K82" s="12">
        <v>0</v>
      </c>
      <c r="L82" s="12">
        <v>5578</v>
      </c>
      <c r="M82" s="12">
        <v>44510</v>
      </c>
      <c r="N82" s="12">
        <v>0</v>
      </c>
      <c r="O82" s="12">
        <v>1250</v>
      </c>
      <c r="P82" s="12"/>
      <c r="Q82" s="12"/>
      <c r="R82" s="12">
        <v>5198</v>
      </c>
      <c r="S82" s="12">
        <v>399391</v>
      </c>
      <c r="T82" s="12">
        <v>433253</v>
      </c>
      <c r="U82" s="39">
        <v>5345453</v>
      </c>
    </row>
    <row r="83" spans="1:21" hidden="1">
      <c r="A83" s="36">
        <v>9411</v>
      </c>
      <c r="B83" s="12">
        <f t="shared" si="5"/>
        <v>845085</v>
      </c>
      <c r="C83" s="12">
        <f t="shared" si="6"/>
        <v>10486732</v>
      </c>
      <c r="D83" s="12">
        <v>139647</v>
      </c>
      <c r="E83" s="12">
        <v>3631396</v>
      </c>
      <c r="F83" s="12">
        <v>6000</v>
      </c>
      <c r="G83" s="12">
        <v>6600</v>
      </c>
      <c r="H83" s="12">
        <v>53390</v>
      </c>
      <c r="I83" s="12">
        <v>472084</v>
      </c>
      <c r="J83" s="12">
        <v>6846</v>
      </c>
      <c r="K83" s="12">
        <v>6846</v>
      </c>
      <c r="L83" s="12">
        <v>1727</v>
      </c>
      <c r="M83" s="12">
        <v>46237</v>
      </c>
      <c r="N83" s="12">
        <v>0</v>
      </c>
      <c r="O83" s="12">
        <v>1250</v>
      </c>
      <c r="P83" s="12"/>
      <c r="Q83" s="12"/>
      <c r="R83" s="12">
        <v>156932</v>
      </c>
      <c r="S83" s="12">
        <v>496323</v>
      </c>
      <c r="T83" s="12">
        <v>480543</v>
      </c>
      <c r="U83" s="39">
        <v>5825996</v>
      </c>
    </row>
    <row r="84" spans="1:21" hidden="1">
      <c r="A84" s="36">
        <v>9412</v>
      </c>
      <c r="B84" s="12">
        <f t="shared" si="5"/>
        <v>2284833</v>
      </c>
      <c r="C84" s="12">
        <f t="shared" si="6"/>
        <v>12771565</v>
      </c>
      <c r="D84" s="12">
        <v>676814</v>
      </c>
      <c r="E84" s="12">
        <v>4308211</v>
      </c>
      <c r="F84" s="12">
        <v>37537</v>
      </c>
      <c r="G84" s="12">
        <v>44136</v>
      </c>
      <c r="H84" s="12">
        <v>105788</v>
      </c>
      <c r="I84" s="12">
        <v>577871</v>
      </c>
      <c r="J84" s="12">
        <v>0</v>
      </c>
      <c r="K84" s="12">
        <v>6846</v>
      </c>
      <c r="L84" s="12">
        <v>9824</v>
      </c>
      <c r="M84" s="12">
        <v>56061</v>
      </c>
      <c r="N84" s="12">
        <v>3624</v>
      </c>
      <c r="O84" s="12">
        <v>4875</v>
      </c>
      <c r="P84" s="12"/>
      <c r="Q84" s="12"/>
      <c r="R84" s="12">
        <v>-24401</v>
      </c>
      <c r="S84" s="12">
        <v>471922</v>
      </c>
      <c r="T84" s="12">
        <v>1475647</v>
      </c>
      <c r="U84" s="39">
        <v>7301643</v>
      </c>
    </row>
    <row r="85" spans="1:21">
      <c r="A85" s="36">
        <v>9501</v>
      </c>
      <c r="B85" s="12">
        <f t="shared" si="5"/>
        <v>1923904</v>
      </c>
      <c r="C85" s="12">
        <f t="shared" si="6"/>
        <v>1923904</v>
      </c>
      <c r="D85" s="40">
        <v>677478</v>
      </c>
      <c r="E85" s="40">
        <v>677478</v>
      </c>
      <c r="F85" s="40">
        <v>0</v>
      </c>
      <c r="G85" s="40">
        <v>0</v>
      </c>
      <c r="H85" s="40">
        <v>15078</v>
      </c>
      <c r="I85" s="40">
        <v>15078</v>
      </c>
      <c r="J85" s="40">
        <v>0</v>
      </c>
      <c r="K85" s="40">
        <v>0</v>
      </c>
      <c r="L85" s="40">
        <v>11</v>
      </c>
      <c r="M85" s="40">
        <v>11</v>
      </c>
      <c r="N85" s="40">
        <v>0</v>
      </c>
      <c r="O85" s="40">
        <v>0</v>
      </c>
      <c r="P85" s="40"/>
      <c r="Q85" s="40"/>
      <c r="R85" s="40">
        <v>40</v>
      </c>
      <c r="S85" s="40">
        <v>40</v>
      </c>
      <c r="T85" s="40">
        <v>1231297</v>
      </c>
      <c r="U85" s="39">
        <v>1231297</v>
      </c>
    </row>
    <row r="86" spans="1:21">
      <c r="A86" s="36">
        <v>9502</v>
      </c>
      <c r="B86" s="12">
        <f t="shared" si="5"/>
        <v>257225</v>
      </c>
      <c r="C86" s="12">
        <f t="shared" si="6"/>
        <v>2181129</v>
      </c>
      <c r="D86" s="40">
        <v>-99767</v>
      </c>
      <c r="E86" s="40">
        <v>577711</v>
      </c>
      <c r="F86" s="40">
        <v>0</v>
      </c>
      <c r="G86" s="40">
        <v>0</v>
      </c>
      <c r="H86" s="40">
        <v>34788</v>
      </c>
      <c r="I86" s="40">
        <v>49865</v>
      </c>
      <c r="J86" s="40">
        <v>0</v>
      </c>
      <c r="K86" s="40">
        <v>0</v>
      </c>
      <c r="L86" s="40">
        <v>19046</v>
      </c>
      <c r="M86" s="40">
        <v>19058</v>
      </c>
      <c r="N86" s="40">
        <v>0</v>
      </c>
      <c r="O86" s="40">
        <v>0</v>
      </c>
      <c r="P86" s="40"/>
      <c r="Q86" s="40"/>
      <c r="R86" s="40">
        <v>121777</v>
      </c>
      <c r="S86" s="40">
        <v>121817</v>
      </c>
      <c r="T86" s="40">
        <v>181381</v>
      </c>
      <c r="U86" s="39">
        <v>1412678</v>
      </c>
    </row>
    <row r="87" spans="1:21">
      <c r="A87" s="36">
        <v>9503</v>
      </c>
      <c r="B87" s="40">
        <f t="shared" si="5"/>
        <v>704550</v>
      </c>
      <c r="C87" s="40">
        <f t="shared" si="6"/>
        <v>2885679</v>
      </c>
      <c r="D87" s="40">
        <v>278060</v>
      </c>
      <c r="E87" s="40">
        <v>855771</v>
      </c>
      <c r="F87" s="40">
        <v>9100</v>
      </c>
      <c r="G87" s="40">
        <v>9100</v>
      </c>
      <c r="H87" s="40">
        <v>49092</v>
      </c>
      <c r="I87" s="40">
        <v>98957</v>
      </c>
      <c r="J87" s="40">
        <v>0</v>
      </c>
      <c r="K87" s="40">
        <v>0</v>
      </c>
      <c r="L87" s="40">
        <v>8028</v>
      </c>
      <c r="M87" s="40">
        <v>27086</v>
      </c>
      <c r="N87" s="40">
        <v>0</v>
      </c>
      <c r="O87" s="40">
        <v>0</v>
      </c>
      <c r="P87" s="40"/>
      <c r="Q87" s="40"/>
      <c r="R87" s="40">
        <v>9031</v>
      </c>
      <c r="S87" s="40">
        <v>130848</v>
      </c>
      <c r="T87" s="40">
        <v>351239</v>
      </c>
      <c r="U87" s="39">
        <v>1763917</v>
      </c>
    </row>
    <row r="88" spans="1:21">
      <c r="A88" s="36">
        <v>9504</v>
      </c>
      <c r="B88" s="40">
        <f t="shared" si="5"/>
        <v>989704</v>
      </c>
      <c r="C88" s="40">
        <f t="shared" si="6"/>
        <v>3879019</v>
      </c>
      <c r="D88" s="40">
        <v>370371</v>
      </c>
      <c r="E88" s="40">
        <v>1226142</v>
      </c>
      <c r="F88" s="40">
        <v>0</v>
      </c>
      <c r="G88" s="40">
        <v>9100</v>
      </c>
      <c r="H88" s="40">
        <v>51717</v>
      </c>
      <c r="I88" s="40">
        <v>150674</v>
      </c>
      <c r="J88" s="40">
        <v>0</v>
      </c>
      <c r="K88" s="40">
        <v>3636</v>
      </c>
      <c r="L88" s="40">
        <v>3244</v>
      </c>
      <c r="M88" s="40">
        <v>30330</v>
      </c>
      <c r="N88" s="40">
        <v>0</v>
      </c>
      <c r="O88" s="40">
        <v>0</v>
      </c>
      <c r="P88" s="40"/>
      <c r="Q88" s="40"/>
      <c r="R88" s="40">
        <v>79552</v>
      </c>
      <c r="S88" s="40">
        <v>210400</v>
      </c>
      <c r="T88" s="40">
        <v>484820</v>
      </c>
      <c r="U88" s="39">
        <v>2248737</v>
      </c>
    </row>
    <row r="89" spans="1:21">
      <c r="A89" s="36">
        <v>9505</v>
      </c>
      <c r="B89" s="40">
        <f t="shared" si="5"/>
        <v>1304468</v>
      </c>
      <c r="C89" s="40">
        <f t="shared" si="6"/>
        <v>5183487</v>
      </c>
      <c r="D89" s="40">
        <v>672932</v>
      </c>
      <c r="E89" s="40">
        <v>1899074</v>
      </c>
      <c r="F89" s="40">
        <v>0</v>
      </c>
      <c r="G89" s="40">
        <v>9100</v>
      </c>
      <c r="H89" s="40">
        <v>42654</v>
      </c>
      <c r="I89" s="40">
        <v>193328</v>
      </c>
      <c r="J89" s="40">
        <v>0</v>
      </c>
      <c r="K89" s="40">
        <v>3636</v>
      </c>
      <c r="L89" s="40">
        <v>607</v>
      </c>
      <c r="M89" s="40">
        <v>30937</v>
      </c>
      <c r="N89" s="40">
        <v>0</v>
      </c>
      <c r="O89" s="40">
        <v>0</v>
      </c>
      <c r="P89" s="40"/>
      <c r="Q89" s="40"/>
      <c r="R89" s="40">
        <v>6862</v>
      </c>
      <c r="S89" s="40">
        <v>217262</v>
      </c>
      <c r="T89" s="40">
        <v>581413</v>
      </c>
      <c r="U89" s="39">
        <v>2830150</v>
      </c>
    </row>
    <row r="90" spans="1:21">
      <c r="A90" s="36">
        <v>9506</v>
      </c>
      <c r="B90" s="40">
        <f t="shared" si="5"/>
        <v>895830</v>
      </c>
      <c r="C90" s="40">
        <f t="shared" si="6"/>
        <v>6079317</v>
      </c>
      <c r="D90" s="40">
        <v>399490</v>
      </c>
      <c r="E90" s="40">
        <v>2298564</v>
      </c>
      <c r="F90" s="40">
        <v>3000</v>
      </c>
      <c r="G90" s="40">
        <v>12100</v>
      </c>
      <c r="H90" s="40">
        <v>46024</v>
      </c>
      <c r="I90" s="40">
        <v>239352</v>
      </c>
      <c r="J90" s="40">
        <v>0</v>
      </c>
      <c r="K90" s="40">
        <v>3636</v>
      </c>
      <c r="L90" s="40">
        <v>5793</v>
      </c>
      <c r="M90" s="40">
        <v>36729</v>
      </c>
      <c r="N90" s="40">
        <v>3000</v>
      </c>
      <c r="O90" s="40">
        <v>3000</v>
      </c>
      <c r="P90" s="40"/>
      <c r="Q90" s="40"/>
      <c r="R90" s="40">
        <v>1982</v>
      </c>
      <c r="S90" s="40">
        <v>219245</v>
      </c>
      <c r="T90" s="40">
        <v>436541</v>
      </c>
      <c r="U90" s="39">
        <v>3266691</v>
      </c>
    </row>
    <row r="91" spans="1:21">
      <c r="A91" s="36">
        <v>9507</v>
      </c>
      <c r="B91" s="40">
        <f t="shared" si="5"/>
        <v>1203138</v>
      </c>
      <c r="C91" s="40">
        <f t="shared" si="6"/>
        <v>7282455</v>
      </c>
      <c r="D91" s="40">
        <v>260462</v>
      </c>
      <c r="E91" s="40">
        <v>2559025</v>
      </c>
      <c r="F91" s="40">
        <v>200</v>
      </c>
      <c r="G91" s="40">
        <v>12300</v>
      </c>
      <c r="H91" s="40">
        <v>69183</v>
      </c>
      <c r="I91" s="40">
        <v>308536</v>
      </c>
      <c r="J91" s="40">
        <v>173</v>
      </c>
      <c r="K91" s="40">
        <v>3809</v>
      </c>
      <c r="L91" s="40">
        <v>3339</v>
      </c>
      <c r="M91" s="40">
        <v>40068</v>
      </c>
      <c r="N91" s="40">
        <v>0</v>
      </c>
      <c r="O91" s="40">
        <v>3000</v>
      </c>
      <c r="P91" s="40"/>
      <c r="Q91" s="40"/>
      <c r="R91" s="40">
        <v>62782</v>
      </c>
      <c r="S91" s="40">
        <v>282027</v>
      </c>
      <c r="T91" s="40">
        <v>806999</v>
      </c>
      <c r="U91" s="39">
        <v>4073690</v>
      </c>
    </row>
    <row r="92" spans="1:21">
      <c r="A92" s="36">
        <v>9508</v>
      </c>
      <c r="B92" s="40">
        <f t="shared" si="5"/>
        <v>1128225</v>
      </c>
      <c r="C92" s="40">
        <f t="shared" si="6"/>
        <v>8410679</v>
      </c>
      <c r="D92" s="40">
        <v>256995</v>
      </c>
      <c r="E92" s="40">
        <v>2816020</v>
      </c>
      <c r="F92" s="40">
        <v>6000</v>
      </c>
      <c r="G92" s="40">
        <v>18300</v>
      </c>
      <c r="H92" s="40">
        <v>38190</v>
      </c>
      <c r="I92" s="40">
        <v>346726</v>
      </c>
      <c r="J92" s="40">
        <v>0</v>
      </c>
      <c r="K92" s="40">
        <v>3809</v>
      </c>
      <c r="L92" s="40">
        <v>16527</v>
      </c>
      <c r="M92" s="40">
        <v>56594</v>
      </c>
      <c r="N92" s="40">
        <v>0</v>
      </c>
      <c r="O92" s="40">
        <v>3000</v>
      </c>
      <c r="P92" s="40"/>
      <c r="Q92" s="40"/>
      <c r="R92" s="40">
        <v>38278</v>
      </c>
      <c r="S92" s="40">
        <v>320305</v>
      </c>
      <c r="T92" s="40">
        <v>772235</v>
      </c>
      <c r="U92" s="39">
        <v>4845925</v>
      </c>
    </row>
    <row r="93" spans="1:21">
      <c r="A93" s="36">
        <v>9509</v>
      </c>
      <c r="B93" s="40">
        <f t="shared" si="5"/>
        <v>638483</v>
      </c>
      <c r="C93" s="40">
        <f t="shared" si="6"/>
        <v>9049142</v>
      </c>
      <c r="D93" s="40">
        <v>305653</v>
      </c>
      <c r="E93" s="40">
        <v>3121673</v>
      </c>
      <c r="F93" s="40">
        <v>0</v>
      </c>
      <c r="G93" s="40">
        <v>18300</v>
      </c>
      <c r="H93" s="40">
        <v>45395</v>
      </c>
      <c r="I93" s="40">
        <v>392121</v>
      </c>
      <c r="J93" s="40">
        <v>0</v>
      </c>
      <c r="K93" s="40">
        <v>3809</v>
      </c>
      <c r="L93" s="40">
        <v>2665</v>
      </c>
      <c r="M93" s="40">
        <v>59239</v>
      </c>
      <c r="N93" s="40">
        <v>0</v>
      </c>
      <c r="O93" s="40">
        <v>3000</v>
      </c>
      <c r="P93" s="40"/>
      <c r="Q93" s="40"/>
      <c r="R93" s="40">
        <v>1176</v>
      </c>
      <c r="S93" s="40">
        <v>321481</v>
      </c>
      <c r="T93" s="40">
        <v>283594</v>
      </c>
      <c r="U93" s="39">
        <v>5129519</v>
      </c>
    </row>
    <row r="94" spans="1:21">
      <c r="A94" s="36">
        <v>9510</v>
      </c>
      <c r="B94" s="40">
        <f t="shared" si="5"/>
        <v>929268</v>
      </c>
      <c r="C94" s="40">
        <f t="shared" si="6"/>
        <v>9978411</v>
      </c>
      <c r="D94" s="40">
        <v>301923</v>
      </c>
      <c r="E94" s="40">
        <v>3423596</v>
      </c>
      <c r="F94" s="40">
        <v>0</v>
      </c>
      <c r="G94" s="40">
        <v>18300</v>
      </c>
      <c r="H94" s="40">
        <v>54490</v>
      </c>
      <c r="I94" s="40">
        <v>446611</v>
      </c>
      <c r="J94" s="40">
        <v>0</v>
      </c>
      <c r="K94" s="40">
        <v>3809</v>
      </c>
      <c r="L94" s="40">
        <v>7607</v>
      </c>
      <c r="M94" s="40">
        <v>66847</v>
      </c>
      <c r="N94" s="40">
        <v>0</v>
      </c>
      <c r="O94" s="40">
        <v>3000</v>
      </c>
      <c r="P94" s="40"/>
      <c r="Q94" s="40"/>
      <c r="R94" s="40">
        <v>65629</v>
      </c>
      <c r="S94" s="40">
        <v>387110</v>
      </c>
      <c r="T94" s="40">
        <v>499619</v>
      </c>
      <c r="U94" s="39">
        <v>5629138</v>
      </c>
    </row>
    <row r="95" spans="1:21">
      <c r="A95" s="36">
        <v>9511</v>
      </c>
      <c r="B95" s="40">
        <f t="shared" si="5"/>
        <v>1231315</v>
      </c>
      <c r="C95" s="40">
        <f t="shared" si="6"/>
        <v>11209725</v>
      </c>
      <c r="D95" s="40">
        <v>311351</v>
      </c>
      <c r="E95" s="40">
        <v>3734948</v>
      </c>
      <c r="F95" s="40">
        <v>13316</v>
      </c>
      <c r="G95" s="40">
        <v>31616</v>
      </c>
      <c r="H95" s="40">
        <v>49296</v>
      </c>
      <c r="I95" s="40">
        <v>495906</v>
      </c>
      <c r="J95" s="40">
        <v>0</v>
      </c>
      <c r="K95" s="40">
        <v>3809</v>
      </c>
      <c r="L95" s="40">
        <v>11189</v>
      </c>
      <c r="M95" s="40">
        <v>78036</v>
      </c>
      <c r="N95" s="40">
        <v>0</v>
      </c>
      <c r="O95" s="40">
        <v>3000</v>
      </c>
      <c r="P95" s="40"/>
      <c r="Q95" s="40"/>
      <c r="R95" s="40">
        <v>49954</v>
      </c>
      <c r="S95" s="40">
        <v>437063</v>
      </c>
      <c r="T95" s="40">
        <v>796209</v>
      </c>
      <c r="U95" s="39">
        <v>6425347</v>
      </c>
    </row>
    <row r="96" spans="1:21">
      <c r="A96" s="36">
        <v>9512</v>
      </c>
      <c r="B96" s="40">
        <f t="shared" si="5"/>
        <v>1489296</v>
      </c>
      <c r="C96" s="40">
        <f t="shared" si="6"/>
        <v>12699021</v>
      </c>
      <c r="D96" s="40">
        <v>470941</v>
      </c>
      <c r="E96" s="40">
        <v>4205888</v>
      </c>
      <c r="F96" s="40">
        <v>0</v>
      </c>
      <c r="G96" s="40">
        <v>31616</v>
      </c>
      <c r="H96" s="40">
        <v>91316</v>
      </c>
      <c r="I96" s="40">
        <v>587223</v>
      </c>
      <c r="J96" s="40">
        <v>0</v>
      </c>
      <c r="K96" s="40">
        <v>3809</v>
      </c>
      <c r="L96" s="40">
        <v>20310</v>
      </c>
      <c r="M96" s="40">
        <v>98346</v>
      </c>
      <c r="N96" s="40">
        <v>3654</v>
      </c>
      <c r="O96" s="40">
        <v>6654</v>
      </c>
      <c r="P96" s="40"/>
      <c r="Q96" s="40"/>
      <c r="R96" s="40">
        <v>-23108</v>
      </c>
      <c r="S96" s="40">
        <v>413955</v>
      </c>
      <c r="T96" s="40">
        <v>926183</v>
      </c>
      <c r="U96" s="39">
        <v>7351530</v>
      </c>
    </row>
    <row r="97" spans="1:21">
      <c r="A97" s="36">
        <v>9601</v>
      </c>
      <c r="B97" s="40">
        <f t="shared" si="5"/>
        <v>370105</v>
      </c>
      <c r="C97" s="40">
        <f t="shared" si="6"/>
        <v>370105</v>
      </c>
      <c r="D97" s="40">
        <v>257445</v>
      </c>
      <c r="E97" s="40">
        <v>257445</v>
      </c>
      <c r="F97" s="40">
        <v>0</v>
      </c>
      <c r="G97" s="40">
        <v>0</v>
      </c>
      <c r="H97" s="40">
        <v>28105</v>
      </c>
      <c r="I97" s="40">
        <v>28105</v>
      </c>
      <c r="J97" s="40">
        <v>0</v>
      </c>
      <c r="K97" s="40">
        <v>0</v>
      </c>
      <c r="L97" s="40">
        <v>133</v>
      </c>
      <c r="M97" s="40">
        <v>133</v>
      </c>
      <c r="N97" s="40">
        <v>0</v>
      </c>
      <c r="O97" s="40">
        <v>0</v>
      </c>
      <c r="P97" s="40" t="s">
        <v>25</v>
      </c>
      <c r="Q97" s="40" t="s">
        <v>25</v>
      </c>
      <c r="R97" s="40">
        <v>487</v>
      </c>
      <c r="S97" s="40">
        <v>487</v>
      </c>
      <c r="T97" s="40">
        <v>83935</v>
      </c>
      <c r="U97" s="39">
        <v>83935</v>
      </c>
    </row>
    <row r="98" spans="1:21">
      <c r="A98" s="36">
        <v>9602</v>
      </c>
      <c r="B98" s="40">
        <f t="shared" si="5"/>
        <v>1895401</v>
      </c>
      <c r="C98" s="40">
        <f t="shared" si="6"/>
        <v>2265506</v>
      </c>
      <c r="D98" s="40">
        <v>515361</v>
      </c>
      <c r="E98" s="40">
        <v>772807</v>
      </c>
      <c r="F98" s="40">
        <v>1985</v>
      </c>
      <c r="G98" s="40">
        <v>1985</v>
      </c>
      <c r="H98" s="40">
        <v>35494</v>
      </c>
      <c r="I98" s="40">
        <v>63599</v>
      </c>
      <c r="J98" s="40">
        <v>0</v>
      </c>
      <c r="K98" s="40">
        <v>0</v>
      </c>
      <c r="L98" s="40">
        <v>1712</v>
      </c>
      <c r="M98" s="40">
        <v>1845</v>
      </c>
      <c r="N98" s="40">
        <v>0</v>
      </c>
      <c r="O98" s="40">
        <v>0</v>
      </c>
      <c r="P98" s="40" t="s">
        <v>25</v>
      </c>
      <c r="Q98" s="40" t="s">
        <v>25</v>
      </c>
      <c r="R98" s="40">
        <v>81503</v>
      </c>
      <c r="S98" s="40">
        <v>81990</v>
      </c>
      <c r="T98" s="40">
        <v>1259346</v>
      </c>
      <c r="U98" s="39">
        <v>1343280</v>
      </c>
    </row>
    <row r="99" spans="1:21">
      <c r="A99" s="36">
        <v>9603</v>
      </c>
      <c r="B99" s="40">
        <f t="shared" si="5"/>
        <v>537485</v>
      </c>
      <c r="C99" s="40">
        <f t="shared" si="6"/>
        <v>2802990</v>
      </c>
      <c r="D99" s="40">
        <v>285065</v>
      </c>
      <c r="E99" s="40">
        <v>1057872</v>
      </c>
      <c r="F99" s="40">
        <v>0</v>
      </c>
      <c r="G99" s="40">
        <v>1985</v>
      </c>
      <c r="H99" s="40">
        <v>44391</v>
      </c>
      <c r="I99" s="40">
        <v>107990</v>
      </c>
      <c r="J99" s="40">
        <v>0</v>
      </c>
      <c r="K99" s="40">
        <v>0</v>
      </c>
      <c r="L99" s="40">
        <v>5125</v>
      </c>
      <c r="M99" s="40">
        <v>6970</v>
      </c>
      <c r="N99" s="40">
        <v>0</v>
      </c>
      <c r="O99" s="40">
        <v>0</v>
      </c>
      <c r="P99" s="40" t="s">
        <v>25</v>
      </c>
      <c r="Q99" s="40" t="s">
        <v>25</v>
      </c>
      <c r="R99" s="40">
        <v>737</v>
      </c>
      <c r="S99" s="40">
        <v>82726</v>
      </c>
      <c r="T99" s="40">
        <v>202167</v>
      </c>
      <c r="U99" s="39">
        <v>1545447</v>
      </c>
    </row>
    <row r="100" spans="1:21">
      <c r="A100" s="36">
        <v>9604</v>
      </c>
      <c r="B100" s="40">
        <f t="shared" si="5"/>
        <v>1146158</v>
      </c>
      <c r="C100" s="40">
        <f t="shared" si="6"/>
        <v>3949148</v>
      </c>
      <c r="D100" s="40">
        <v>456903</v>
      </c>
      <c r="E100" s="40">
        <v>1514774</v>
      </c>
      <c r="F100" s="40">
        <v>0</v>
      </c>
      <c r="G100" s="40">
        <v>1985</v>
      </c>
      <c r="H100" s="40">
        <v>42876</v>
      </c>
      <c r="I100" s="40">
        <v>150866</v>
      </c>
      <c r="J100" s="40">
        <v>0</v>
      </c>
      <c r="K100" s="40">
        <v>0</v>
      </c>
      <c r="L100" s="40">
        <v>2376</v>
      </c>
      <c r="M100" s="40">
        <v>9347</v>
      </c>
      <c r="N100" s="40">
        <v>0</v>
      </c>
      <c r="O100" s="40">
        <v>0</v>
      </c>
      <c r="P100" s="40" t="s">
        <v>25</v>
      </c>
      <c r="Q100" s="40" t="s">
        <v>25</v>
      </c>
      <c r="R100" s="40">
        <v>61712</v>
      </c>
      <c r="S100" s="40">
        <v>144438</v>
      </c>
      <c r="T100" s="40">
        <v>582291</v>
      </c>
      <c r="U100" s="39">
        <v>2127738</v>
      </c>
    </row>
    <row r="101" spans="1:21">
      <c r="A101" s="36">
        <v>9605</v>
      </c>
      <c r="B101" s="40">
        <f t="shared" si="5"/>
        <v>1226881</v>
      </c>
      <c r="C101" s="40">
        <f t="shared" si="6"/>
        <v>5176029</v>
      </c>
      <c r="D101" s="40">
        <v>755141</v>
      </c>
      <c r="E101" s="40">
        <v>2269916</v>
      </c>
      <c r="F101" s="40">
        <v>4875</v>
      </c>
      <c r="G101" s="40">
        <v>6860</v>
      </c>
      <c r="H101" s="40">
        <v>63923</v>
      </c>
      <c r="I101" s="40">
        <v>214789</v>
      </c>
      <c r="J101" s="40">
        <v>0</v>
      </c>
      <c r="K101" s="40">
        <v>0</v>
      </c>
      <c r="L101" s="40">
        <v>5437</v>
      </c>
      <c r="M101" s="40">
        <v>14784</v>
      </c>
      <c r="N101" s="40">
        <v>0</v>
      </c>
      <c r="O101" s="40">
        <v>0</v>
      </c>
      <c r="P101" s="40" t="s">
        <v>25</v>
      </c>
      <c r="Q101" s="40" t="s">
        <v>25</v>
      </c>
      <c r="R101" s="40">
        <v>3156</v>
      </c>
      <c r="S101" s="40">
        <v>147593</v>
      </c>
      <c r="T101" s="40">
        <v>394349</v>
      </c>
      <c r="U101" s="39">
        <v>2522087</v>
      </c>
    </row>
    <row r="102" spans="1:21">
      <c r="A102" s="36">
        <v>9606</v>
      </c>
      <c r="B102" s="40">
        <f t="shared" si="5"/>
        <v>1063345</v>
      </c>
      <c r="C102" s="40">
        <f t="shared" si="6"/>
        <v>6239374</v>
      </c>
      <c r="D102" s="40">
        <v>379202</v>
      </c>
      <c r="E102" s="40">
        <v>2649118</v>
      </c>
      <c r="F102" s="40">
        <v>0</v>
      </c>
      <c r="G102" s="40">
        <v>6860</v>
      </c>
      <c r="H102" s="40">
        <v>39223</v>
      </c>
      <c r="I102" s="40">
        <v>254012</v>
      </c>
      <c r="J102" s="40">
        <v>0</v>
      </c>
      <c r="K102" s="40">
        <v>0</v>
      </c>
      <c r="L102" s="40">
        <v>27590</v>
      </c>
      <c r="M102" s="40">
        <v>42373</v>
      </c>
      <c r="N102" s="40">
        <v>851</v>
      </c>
      <c r="O102" s="40">
        <v>851</v>
      </c>
      <c r="P102" s="40" t="s">
        <v>25</v>
      </c>
      <c r="Q102" s="40" t="s">
        <v>25</v>
      </c>
      <c r="R102" s="40">
        <v>2323</v>
      </c>
      <c r="S102" s="40">
        <v>149917</v>
      </c>
      <c r="T102" s="40">
        <v>614156</v>
      </c>
      <c r="U102" s="39">
        <v>3136243</v>
      </c>
    </row>
    <row r="103" spans="1:21">
      <c r="A103" s="36">
        <v>9607</v>
      </c>
      <c r="B103" s="40">
        <f t="shared" si="5"/>
        <v>1475272</v>
      </c>
      <c r="C103" s="40">
        <f t="shared" si="6"/>
        <v>7714646</v>
      </c>
      <c r="D103" s="40">
        <v>294510</v>
      </c>
      <c r="E103" s="40">
        <v>2943628</v>
      </c>
      <c r="F103" s="40">
        <v>0</v>
      </c>
      <c r="G103" s="40">
        <v>6860</v>
      </c>
      <c r="H103" s="40">
        <v>35392</v>
      </c>
      <c r="I103" s="40">
        <v>289404</v>
      </c>
      <c r="J103" s="40">
        <v>0</v>
      </c>
      <c r="K103" s="40">
        <v>0</v>
      </c>
      <c r="L103" s="40">
        <v>24301</v>
      </c>
      <c r="M103" s="40">
        <v>66674</v>
      </c>
      <c r="N103" s="40">
        <v>0</v>
      </c>
      <c r="O103" s="40">
        <v>851</v>
      </c>
      <c r="P103" s="40" t="s">
        <v>25</v>
      </c>
      <c r="Q103" s="40" t="s">
        <v>25</v>
      </c>
      <c r="R103" s="40">
        <v>73618</v>
      </c>
      <c r="S103" s="40">
        <v>223535</v>
      </c>
      <c r="T103" s="40">
        <v>1047451</v>
      </c>
      <c r="U103" s="39">
        <v>4183694</v>
      </c>
    </row>
    <row r="104" spans="1:21">
      <c r="A104" s="36">
        <v>9608</v>
      </c>
      <c r="B104" s="40">
        <f t="shared" si="5"/>
        <v>954033.7</v>
      </c>
      <c r="C104" s="40">
        <f t="shared" si="6"/>
        <v>8668679.5999999996</v>
      </c>
      <c r="D104" s="40">
        <v>283959.59999999998</v>
      </c>
      <c r="E104" s="40">
        <v>3227587.9</v>
      </c>
      <c r="F104" s="40">
        <v>11252</v>
      </c>
      <c r="G104" s="40">
        <v>18112</v>
      </c>
      <c r="H104" s="40">
        <v>61666</v>
      </c>
      <c r="I104" s="40">
        <v>351070.6</v>
      </c>
      <c r="J104" s="40">
        <v>0</v>
      </c>
      <c r="K104" s="40">
        <v>0</v>
      </c>
      <c r="L104" s="40">
        <v>2812.8</v>
      </c>
      <c r="M104" s="40">
        <v>69486.600000000006</v>
      </c>
      <c r="N104" s="40">
        <v>0</v>
      </c>
      <c r="O104" s="40">
        <v>850.8</v>
      </c>
      <c r="P104" s="40" t="s">
        <v>25</v>
      </c>
      <c r="Q104" s="40" t="s">
        <v>25</v>
      </c>
      <c r="R104" s="40">
        <v>2992</v>
      </c>
      <c r="S104" s="40">
        <v>226526.7</v>
      </c>
      <c r="T104" s="40">
        <v>591351.30000000005</v>
      </c>
      <c r="U104" s="39">
        <v>4775045</v>
      </c>
    </row>
    <row r="105" spans="1:21">
      <c r="A105" s="36">
        <v>9609</v>
      </c>
      <c r="B105" s="40">
        <f t="shared" si="5"/>
        <v>744160</v>
      </c>
      <c r="C105" s="40">
        <f t="shared" si="6"/>
        <v>9412839.6000000015</v>
      </c>
      <c r="D105" s="40">
        <v>272263.8</v>
      </c>
      <c r="E105" s="40">
        <v>3499851.7</v>
      </c>
      <c r="F105" s="40">
        <v>0</v>
      </c>
      <c r="G105" s="40">
        <v>18112</v>
      </c>
      <c r="H105" s="40">
        <v>33703.1</v>
      </c>
      <c r="I105" s="40">
        <v>384773.7</v>
      </c>
      <c r="J105" s="40">
        <v>0</v>
      </c>
      <c r="K105" s="40">
        <v>0</v>
      </c>
      <c r="L105" s="40">
        <v>39297.4</v>
      </c>
      <c r="M105" s="40">
        <v>108784</v>
      </c>
      <c r="N105" s="40">
        <v>0</v>
      </c>
      <c r="O105" s="40">
        <v>850.8</v>
      </c>
      <c r="P105" s="40" t="s">
        <v>25</v>
      </c>
      <c r="Q105" s="40" t="s">
        <v>25</v>
      </c>
      <c r="R105" s="40">
        <v>1076.3</v>
      </c>
      <c r="S105" s="40">
        <v>227603</v>
      </c>
      <c r="T105" s="40">
        <v>397819.4</v>
      </c>
      <c r="U105" s="39">
        <v>5172864.4000000004</v>
      </c>
    </row>
    <row r="106" spans="1:21">
      <c r="A106" s="36">
        <v>9610</v>
      </c>
      <c r="B106" s="40">
        <f>D106+F106+H106+J106+L106+N106+R106+T106</f>
        <v>1120779</v>
      </c>
      <c r="C106" s="40">
        <f>SUM(E106,G106,I106,K106,M106,O106,S106,U106)</f>
        <v>10533618.5</v>
      </c>
      <c r="D106" s="40">
        <v>259502.3</v>
      </c>
      <c r="E106" s="40">
        <v>3759353.9</v>
      </c>
      <c r="F106" s="40">
        <v>0</v>
      </c>
      <c r="G106" s="40">
        <v>18112</v>
      </c>
      <c r="H106" s="40">
        <v>36734.1</v>
      </c>
      <c r="I106" s="40">
        <v>421507.8</v>
      </c>
      <c r="J106" s="40">
        <v>0</v>
      </c>
      <c r="K106" s="40">
        <v>0</v>
      </c>
      <c r="L106" s="40">
        <v>49919.5</v>
      </c>
      <c r="M106" s="40">
        <v>158703.5</v>
      </c>
      <c r="N106" s="40">
        <v>0</v>
      </c>
      <c r="O106" s="40">
        <v>850.8</v>
      </c>
      <c r="P106" s="40" t="s">
        <v>25</v>
      </c>
      <c r="Q106" s="40" t="s">
        <v>25</v>
      </c>
      <c r="R106" s="40">
        <v>52824.3</v>
      </c>
      <c r="S106" s="40">
        <v>280427.3</v>
      </c>
      <c r="T106" s="40">
        <v>721798.8</v>
      </c>
      <c r="U106" s="39">
        <v>5894663.2000000002</v>
      </c>
    </row>
    <row r="107" spans="1:21">
      <c r="A107" s="36">
        <v>9611</v>
      </c>
      <c r="B107" s="40">
        <f>D107+F107+H107+J107+L107+N107+R107+T107</f>
        <v>908460.39999999991</v>
      </c>
      <c r="C107" s="40">
        <f>SUM(E107,G107,I107,K107,M107,O107,S107,U107)</f>
        <v>11442079.1</v>
      </c>
      <c r="D107" s="40">
        <v>334500.59999999998</v>
      </c>
      <c r="E107" s="40">
        <v>4093854.6</v>
      </c>
      <c r="F107" s="40">
        <v>4102</v>
      </c>
      <c r="G107" s="40">
        <v>22214</v>
      </c>
      <c r="H107" s="40">
        <v>37152.400000000001</v>
      </c>
      <c r="I107" s="40">
        <v>458660.2</v>
      </c>
      <c r="J107" s="40">
        <v>0</v>
      </c>
      <c r="K107" s="40">
        <v>0</v>
      </c>
      <c r="L107" s="40">
        <v>7184.6</v>
      </c>
      <c r="M107" s="40">
        <v>165888.1</v>
      </c>
      <c r="N107" s="40">
        <v>0</v>
      </c>
      <c r="O107" s="40">
        <v>850.8</v>
      </c>
      <c r="P107" s="40" t="s">
        <v>25</v>
      </c>
      <c r="Q107" s="40" t="s">
        <v>25</v>
      </c>
      <c r="R107" s="40">
        <v>3683.2</v>
      </c>
      <c r="S107" s="40">
        <v>284110.5</v>
      </c>
      <c r="T107" s="40">
        <v>521837.6</v>
      </c>
      <c r="U107" s="39">
        <v>6416500.9000000004</v>
      </c>
    </row>
    <row r="108" spans="1:21">
      <c r="A108" s="36">
        <v>9612</v>
      </c>
      <c r="B108" s="40">
        <f t="shared" ref="B108:B124" si="7">D108+F108+H108+J108+L108+N108+P108+R108+T108</f>
        <v>2016174.7000000002</v>
      </c>
      <c r="C108" s="40">
        <f t="shared" ref="C108:C153" si="8">SUM(E108,G108,I108,K108,M108,O108,Q108,S108,U108)</f>
        <v>13458253.800000001</v>
      </c>
      <c r="D108" s="40">
        <v>443761.3</v>
      </c>
      <c r="E108" s="40">
        <v>4537615.9000000004</v>
      </c>
      <c r="F108" s="40">
        <v>0</v>
      </c>
      <c r="G108" s="40">
        <v>22214</v>
      </c>
      <c r="H108" s="40">
        <v>119990.39999999999</v>
      </c>
      <c r="I108" s="40">
        <v>578650.6</v>
      </c>
      <c r="J108" s="40">
        <v>0</v>
      </c>
      <c r="K108" s="40">
        <v>0</v>
      </c>
      <c r="L108" s="40">
        <v>279692.79999999999</v>
      </c>
      <c r="M108" s="40">
        <v>445580.9</v>
      </c>
      <c r="N108" s="40">
        <v>0</v>
      </c>
      <c r="O108" s="40">
        <v>850.8</v>
      </c>
      <c r="P108" s="40">
        <v>9000</v>
      </c>
      <c r="Q108" s="40">
        <v>9000</v>
      </c>
      <c r="R108" s="40">
        <v>20972.1</v>
      </c>
      <c r="S108" s="40">
        <v>305082.7</v>
      </c>
      <c r="T108" s="40">
        <v>1142758.1000000001</v>
      </c>
      <c r="U108" s="39">
        <v>7559258.9000000004</v>
      </c>
    </row>
    <row r="109" spans="1:21">
      <c r="A109" s="36">
        <v>9701</v>
      </c>
      <c r="B109" s="40">
        <f t="shared" si="7"/>
        <v>1932667.1</v>
      </c>
      <c r="C109" s="40">
        <f t="shared" si="8"/>
        <v>1932667.1</v>
      </c>
      <c r="D109" s="40">
        <v>306376.90000000002</v>
      </c>
      <c r="E109" s="40">
        <v>306376.90000000002</v>
      </c>
      <c r="F109" s="40">
        <v>0</v>
      </c>
      <c r="G109" s="40">
        <v>0</v>
      </c>
      <c r="H109" s="40">
        <v>9983.4</v>
      </c>
      <c r="I109" s="40">
        <v>9983.4</v>
      </c>
      <c r="J109" s="40">
        <v>0</v>
      </c>
      <c r="K109" s="40">
        <v>0</v>
      </c>
      <c r="L109" s="40">
        <v>387.1</v>
      </c>
      <c r="M109" s="40">
        <v>387.1</v>
      </c>
      <c r="N109" s="40">
        <v>0</v>
      </c>
      <c r="O109" s="40">
        <v>0</v>
      </c>
      <c r="P109" s="40">
        <v>0</v>
      </c>
      <c r="Q109" s="40">
        <v>0</v>
      </c>
      <c r="R109" s="40">
        <v>4024.7</v>
      </c>
      <c r="S109" s="40">
        <v>4024.7</v>
      </c>
      <c r="T109" s="40">
        <v>1611895</v>
      </c>
      <c r="U109" s="39">
        <v>1611895</v>
      </c>
    </row>
    <row r="110" spans="1:21">
      <c r="A110" s="36">
        <v>9702</v>
      </c>
      <c r="B110" s="40">
        <f t="shared" si="7"/>
        <v>372708</v>
      </c>
      <c r="C110" s="40">
        <f t="shared" si="8"/>
        <v>2305375</v>
      </c>
      <c r="D110" s="40">
        <v>457118.1</v>
      </c>
      <c r="E110" s="40">
        <v>763494.9</v>
      </c>
      <c r="F110" s="40">
        <v>0</v>
      </c>
      <c r="G110" s="40">
        <v>0</v>
      </c>
      <c r="H110" s="40">
        <v>25206.9</v>
      </c>
      <c r="I110" s="40">
        <v>35190.300000000003</v>
      </c>
      <c r="J110" s="40">
        <v>0</v>
      </c>
      <c r="K110" s="40">
        <v>0</v>
      </c>
      <c r="L110" s="40">
        <v>2886</v>
      </c>
      <c r="M110" s="40">
        <v>3273.1</v>
      </c>
      <c r="N110" s="40">
        <v>0</v>
      </c>
      <c r="O110" s="40">
        <v>0</v>
      </c>
      <c r="P110" s="40">
        <v>0</v>
      </c>
      <c r="Q110" s="40">
        <v>0</v>
      </c>
      <c r="R110" s="40">
        <v>8132</v>
      </c>
      <c r="S110" s="40">
        <v>12156.7</v>
      </c>
      <c r="T110" s="40">
        <v>-120635</v>
      </c>
      <c r="U110" s="39">
        <v>1491260</v>
      </c>
    </row>
    <row r="111" spans="1:21">
      <c r="A111" s="36">
        <v>9703</v>
      </c>
      <c r="B111" s="40">
        <f t="shared" si="7"/>
        <v>729891.79999999993</v>
      </c>
      <c r="C111" s="40">
        <f t="shared" si="8"/>
        <v>3035266.8</v>
      </c>
      <c r="D111" s="40">
        <v>299909</v>
      </c>
      <c r="E111" s="40">
        <v>1063403.8999999999</v>
      </c>
      <c r="F111" s="40">
        <v>0</v>
      </c>
      <c r="G111" s="40">
        <v>0</v>
      </c>
      <c r="H111" s="40">
        <v>30260.3</v>
      </c>
      <c r="I111" s="40">
        <v>65450.7</v>
      </c>
      <c r="J111" s="40">
        <v>0</v>
      </c>
      <c r="K111" s="40">
        <v>0</v>
      </c>
      <c r="L111" s="40">
        <v>3496.1</v>
      </c>
      <c r="M111" s="40">
        <v>6769.2</v>
      </c>
      <c r="N111" s="40">
        <v>0</v>
      </c>
      <c r="O111" s="40">
        <v>0</v>
      </c>
      <c r="P111" s="40">
        <v>13617.7</v>
      </c>
      <c r="Q111" s="40">
        <v>13617.7</v>
      </c>
      <c r="R111" s="40">
        <v>2171.6</v>
      </c>
      <c r="S111" s="40">
        <v>14328.3</v>
      </c>
      <c r="T111" s="40">
        <v>380437.1</v>
      </c>
      <c r="U111" s="39">
        <v>1871697</v>
      </c>
    </row>
    <row r="112" spans="1:21">
      <c r="A112" s="36">
        <v>9704</v>
      </c>
      <c r="B112" s="40">
        <f t="shared" si="7"/>
        <v>1092121.3999999999</v>
      </c>
      <c r="C112" s="40">
        <f t="shared" si="8"/>
        <v>4127388.3</v>
      </c>
      <c r="D112" s="40">
        <v>448984.6</v>
      </c>
      <c r="E112" s="40">
        <v>1512388.5</v>
      </c>
      <c r="F112" s="40">
        <v>0</v>
      </c>
      <c r="G112" s="40">
        <v>0</v>
      </c>
      <c r="H112" s="40">
        <v>32963.9</v>
      </c>
      <c r="I112" s="40">
        <v>98414.6</v>
      </c>
      <c r="J112" s="40">
        <v>0</v>
      </c>
      <c r="K112" s="40">
        <v>0</v>
      </c>
      <c r="L112" s="40">
        <v>1782.8</v>
      </c>
      <c r="M112" s="40">
        <v>8552</v>
      </c>
      <c r="N112" s="40">
        <v>0</v>
      </c>
      <c r="O112" s="40">
        <v>0</v>
      </c>
      <c r="P112" s="40">
        <v>8530.1</v>
      </c>
      <c r="Q112" s="40">
        <v>22147.8</v>
      </c>
      <c r="R112" s="40">
        <v>12749.8</v>
      </c>
      <c r="S112" s="40">
        <v>27078.1</v>
      </c>
      <c r="T112" s="40">
        <v>587110.19999999995</v>
      </c>
      <c r="U112" s="39">
        <v>2458807.2999999998</v>
      </c>
    </row>
    <row r="113" spans="1:21">
      <c r="A113" s="36">
        <v>9705</v>
      </c>
      <c r="B113" s="40">
        <f t="shared" si="7"/>
        <v>1323269.4000000001</v>
      </c>
      <c r="C113" s="40">
        <f t="shared" si="8"/>
        <v>5450657.6999999993</v>
      </c>
      <c r="D113" s="40">
        <v>820583.4</v>
      </c>
      <c r="E113" s="40">
        <v>2332971.9</v>
      </c>
      <c r="F113" s="40">
        <v>0</v>
      </c>
      <c r="G113" s="40">
        <v>0</v>
      </c>
      <c r="H113" s="40">
        <v>34215.5</v>
      </c>
      <c r="I113" s="40">
        <v>132630.1</v>
      </c>
      <c r="J113" s="40">
        <v>0</v>
      </c>
      <c r="K113" s="40">
        <v>0</v>
      </c>
      <c r="L113" s="40">
        <v>4204.3</v>
      </c>
      <c r="M113" s="40">
        <v>12756.3</v>
      </c>
      <c r="N113" s="40">
        <v>0</v>
      </c>
      <c r="O113" s="40">
        <v>0</v>
      </c>
      <c r="P113" s="40">
        <v>1396.5</v>
      </c>
      <c r="Q113" s="40">
        <v>23544.3</v>
      </c>
      <c r="R113" s="40">
        <v>15445.3</v>
      </c>
      <c r="S113" s="40">
        <v>42523.4</v>
      </c>
      <c r="T113" s="40">
        <v>447424.4</v>
      </c>
      <c r="U113" s="39">
        <v>2906231.7</v>
      </c>
    </row>
    <row r="114" spans="1:21">
      <c r="A114" s="36">
        <v>9706</v>
      </c>
      <c r="B114" s="40">
        <f t="shared" si="7"/>
        <v>920112.7</v>
      </c>
      <c r="C114" s="40">
        <f t="shared" si="8"/>
        <v>6370770.2000000002</v>
      </c>
      <c r="D114" s="40">
        <v>439517.9</v>
      </c>
      <c r="E114" s="40">
        <v>2772489.7</v>
      </c>
      <c r="F114" s="40">
        <v>0</v>
      </c>
      <c r="G114" s="40">
        <v>0</v>
      </c>
      <c r="H114" s="40">
        <v>38356.300000000003</v>
      </c>
      <c r="I114" s="40">
        <v>170986.4</v>
      </c>
      <c r="J114" s="40">
        <v>0</v>
      </c>
      <c r="K114" s="40">
        <v>0</v>
      </c>
      <c r="L114" s="40">
        <v>4506.2</v>
      </c>
      <c r="M114" s="40">
        <v>17262.5</v>
      </c>
      <c r="N114" s="40">
        <v>255.6</v>
      </c>
      <c r="O114" s="40">
        <v>255.6</v>
      </c>
      <c r="P114" s="40">
        <v>2288.5</v>
      </c>
      <c r="Q114" s="40">
        <v>25832.7</v>
      </c>
      <c r="R114" s="40">
        <v>9659.4</v>
      </c>
      <c r="S114" s="40">
        <v>52182.8</v>
      </c>
      <c r="T114" s="40">
        <v>425528.8</v>
      </c>
      <c r="U114" s="39">
        <v>3331760.5</v>
      </c>
    </row>
    <row r="115" spans="1:21">
      <c r="A115" s="36">
        <v>9707</v>
      </c>
      <c r="B115" s="40">
        <f t="shared" si="7"/>
        <v>1273010.8999999999</v>
      </c>
      <c r="C115" s="40">
        <f t="shared" si="8"/>
        <v>7643781</v>
      </c>
      <c r="D115" s="40">
        <v>311028.5</v>
      </c>
      <c r="E115" s="40">
        <v>3083518.3</v>
      </c>
      <c r="F115" s="40">
        <v>3</v>
      </c>
      <c r="G115" s="40">
        <v>3</v>
      </c>
      <c r="H115" s="40">
        <v>34796.199999999997</v>
      </c>
      <c r="I115" s="40">
        <v>205782.5</v>
      </c>
      <c r="J115" s="40">
        <v>0</v>
      </c>
      <c r="K115" s="40">
        <v>0</v>
      </c>
      <c r="L115" s="40">
        <v>14134.7</v>
      </c>
      <c r="M115" s="40">
        <v>31397.200000000001</v>
      </c>
      <c r="N115" s="40">
        <v>601.20000000000005</v>
      </c>
      <c r="O115" s="40">
        <v>856.7</v>
      </c>
      <c r="P115" s="40">
        <v>3366.3</v>
      </c>
      <c r="Q115" s="40">
        <v>29199</v>
      </c>
      <c r="R115" s="40">
        <v>-5431.9</v>
      </c>
      <c r="S115" s="40">
        <v>46750.9</v>
      </c>
      <c r="T115" s="40">
        <v>914512.9</v>
      </c>
      <c r="U115" s="39">
        <v>4246273.4000000004</v>
      </c>
    </row>
    <row r="116" spans="1:21">
      <c r="A116" s="36">
        <v>9708</v>
      </c>
      <c r="B116" s="40">
        <f t="shared" si="7"/>
        <v>913022.60000000009</v>
      </c>
      <c r="C116" s="40">
        <f t="shared" si="8"/>
        <v>8556803.6999999993</v>
      </c>
      <c r="D116" s="40">
        <v>307054.2</v>
      </c>
      <c r="E116" s="40">
        <v>3390572.4</v>
      </c>
      <c r="F116" s="40">
        <v>0</v>
      </c>
      <c r="G116" s="40">
        <v>3</v>
      </c>
      <c r="H116" s="40">
        <v>32438.9</v>
      </c>
      <c r="I116" s="40">
        <v>238221.4</v>
      </c>
      <c r="J116" s="40">
        <v>0</v>
      </c>
      <c r="K116" s="40">
        <v>0</v>
      </c>
      <c r="L116" s="40">
        <v>84136.9</v>
      </c>
      <c r="M116" s="40">
        <v>115534.2</v>
      </c>
      <c r="N116" s="40">
        <v>20000</v>
      </c>
      <c r="O116" s="40">
        <v>20856.7</v>
      </c>
      <c r="P116" s="40">
        <v>15974</v>
      </c>
      <c r="Q116" s="40">
        <v>45173</v>
      </c>
      <c r="R116" s="40">
        <v>1907.9</v>
      </c>
      <c r="S116" s="40">
        <v>48658.9</v>
      </c>
      <c r="T116" s="40">
        <v>451510.7</v>
      </c>
      <c r="U116" s="39">
        <v>4697784.0999999996</v>
      </c>
    </row>
    <row r="117" spans="1:21">
      <c r="A117" s="36">
        <v>9709</v>
      </c>
      <c r="B117" s="40">
        <f t="shared" si="7"/>
        <v>2007152.1</v>
      </c>
      <c r="C117" s="40">
        <f t="shared" si="8"/>
        <v>10563955.899999999</v>
      </c>
      <c r="D117" s="40">
        <v>343129.7</v>
      </c>
      <c r="E117" s="40">
        <v>3733702.1</v>
      </c>
      <c r="F117" s="40">
        <v>0</v>
      </c>
      <c r="G117" s="40">
        <v>3</v>
      </c>
      <c r="H117" s="40">
        <v>34514.9</v>
      </c>
      <c r="I117" s="40">
        <v>272736.3</v>
      </c>
      <c r="J117" s="40">
        <v>0</v>
      </c>
      <c r="K117" s="40">
        <v>0</v>
      </c>
      <c r="L117" s="40">
        <v>8059.2</v>
      </c>
      <c r="M117" s="40">
        <v>123593.4</v>
      </c>
      <c r="N117" s="40">
        <v>2039.1</v>
      </c>
      <c r="O117" s="40">
        <v>22895.8</v>
      </c>
      <c r="P117" s="40">
        <v>1213.2</v>
      </c>
      <c r="Q117" s="40">
        <v>46386.2</v>
      </c>
      <c r="R117" s="40">
        <v>10025.4</v>
      </c>
      <c r="S117" s="40">
        <v>58684.3</v>
      </c>
      <c r="T117" s="40">
        <v>1608170.6</v>
      </c>
      <c r="U117" s="39">
        <v>6305954.7999999998</v>
      </c>
    </row>
    <row r="118" spans="1:21">
      <c r="A118" s="36">
        <v>9710</v>
      </c>
      <c r="B118" s="40">
        <f t="shared" si="7"/>
        <v>1025526.4000000001</v>
      </c>
      <c r="C118" s="40">
        <f t="shared" si="8"/>
        <v>11589482</v>
      </c>
      <c r="D118" s="40">
        <v>310569.40000000002</v>
      </c>
      <c r="E118" s="40">
        <v>4044271.5</v>
      </c>
      <c r="F118" s="40">
        <v>2</v>
      </c>
      <c r="G118" s="40">
        <v>5</v>
      </c>
      <c r="H118" s="40">
        <v>30512.9</v>
      </c>
      <c r="I118" s="40">
        <v>303249.2</v>
      </c>
      <c r="J118" s="40">
        <v>0</v>
      </c>
      <c r="K118" s="40">
        <v>0</v>
      </c>
      <c r="L118" s="40">
        <v>3744.5</v>
      </c>
      <c r="M118" s="40">
        <v>127337.8</v>
      </c>
      <c r="N118" s="40">
        <v>552.1</v>
      </c>
      <c r="O118" s="40">
        <v>23447.8</v>
      </c>
      <c r="P118" s="40">
        <v>7499.8</v>
      </c>
      <c r="Q118" s="40">
        <v>53886</v>
      </c>
      <c r="R118" s="40">
        <v>3745.9</v>
      </c>
      <c r="S118" s="40">
        <v>62430.1</v>
      </c>
      <c r="T118" s="40">
        <v>668899.80000000005</v>
      </c>
      <c r="U118" s="39">
        <v>6974854.5999999996</v>
      </c>
    </row>
    <row r="119" spans="1:21">
      <c r="A119" s="36">
        <v>9711</v>
      </c>
      <c r="B119" s="40">
        <f t="shared" si="7"/>
        <v>828747.2</v>
      </c>
      <c r="C119" s="40">
        <f t="shared" si="8"/>
        <v>12418229.300000001</v>
      </c>
      <c r="D119" s="40">
        <v>342093.8</v>
      </c>
      <c r="E119" s="40">
        <v>4386365.4000000004</v>
      </c>
      <c r="F119" s="40">
        <v>-5</v>
      </c>
      <c r="G119" s="40">
        <v>0</v>
      </c>
      <c r="H119" s="40">
        <v>27463.8</v>
      </c>
      <c r="I119" s="40">
        <v>330713</v>
      </c>
      <c r="J119" s="40">
        <v>0</v>
      </c>
      <c r="K119" s="40">
        <v>0</v>
      </c>
      <c r="L119" s="40">
        <v>5032.3</v>
      </c>
      <c r="M119" s="40">
        <v>132370.1</v>
      </c>
      <c r="N119" s="40">
        <v>375.5</v>
      </c>
      <c r="O119" s="40">
        <v>23823.3</v>
      </c>
      <c r="P119" s="40">
        <v>0</v>
      </c>
      <c r="Q119" s="40">
        <v>53886</v>
      </c>
      <c r="R119" s="40">
        <v>9685.7999999999993</v>
      </c>
      <c r="S119" s="40">
        <v>72115.899999999994</v>
      </c>
      <c r="T119" s="40">
        <v>444101</v>
      </c>
      <c r="U119" s="39">
        <v>7418955.5999999996</v>
      </c>
    </row>
    <row r="120" spans="1:21">
      <c r="A120" s="36">
        <v>9712</v>
      </c>
      <c r="B120" s="40">
        <f t="shared" si="7"/>
        <v>1716079.9</v>
      </c>
      <c r="C120" s="40">
        <f t="shared" si="8"/>
        <v>14134309.300000001</v>
      </c>
      <c r="D120" s="40">
        <v>418365.7</v>
      </c>
      <c r="E120" s="40">
        <v>4804731</v>
      </c>
      <c r="F120" s="40">
        <v>334.1</v>
      </c>
      <c r="G120" s="40">
        <v>334.1</v>
      </c>
      <c r="H120" s="40">
        <v>59647.8</v>
      </c>
      <c r="I120" s="40">
        <v>390360.8</v>
      </c>
      <c r="J120" s="40">
        <v>0</v>
      </c>
      <c r="K120" s="40">
        <v>0</v>
      </c>
      <c r="L120" s="40">
        <v>18359.3</v>
      </c>
      <c r="M120" s="40">
        <v>150729.4</v>
      </c>
      <c r="N120" s="40">
        <v>6668.6</v>
      </c>
      <c r="O120" s="40">
        <v>30492</v>
      </c>
      <c r="P120" s="40">
        <v>13538.8</v>
      </c>
      <c r="Q120" s="40">
        <v>67424.800000000003</v>
      </c>
      <c r="R120" s="40">
        <v>10978.2</v>
      </c>
      <c r="S120" s="40">
        <v>83094.2</v>
      </c>
      <c r="T120" s="40">
        <v>1188187.3999999999</v>
      </c>
      <c r="U120" s="39">
        <v>8607143</v>
      </c>
    </row>
    <row r="121" spans="1:21">
      <c r="A121" s="36">
        <v>9801</v>
      </c>
      <c r="B121" s="40">
        <f t="shared" si="7"/>
        <v>1859980</v>
      </c>
      <c r="C121" s="40">
        <f t="shared" si="8"/>
        <v>1859980</v>
      </c>
      <c r="D121" s="40">
        <v>286880.59999999998</v>
      </c>
      <c r="E121" s="40">
        <v>286880.59999999998</v>
      </c>
      <c r="F121" s="40">
        <v>0</v>
      </c>
      <c r="G121" s="40">
        <v>0</v>
      </c>
      <c r="H121" s="40">
        <v>6708.5</v>
      </c>
      <c r="I121" s="40">
        <v>6708.5</v>
      </c>
      <c r="J121" s="40">
        <v>0</v>
      </c>
      <c r="K121" s="40">
        <v>0</v>
      </c>
      <c r="L121" s="40">
        <v>482</v>
      </c>
      <c r="M121" s="40">
        <v>482</v>
      </c>
      <c r="N121" s="40">
        <v>0</v>
      </c>
      <c r="O121" s="40">
        <v>0</v>
      </c>
      <c r="P121" s="40">
        <v>0</v>
      </c>
      <c r="Q121" s="40">
        <v>0</v>
      </c>
      <c r="R121" s="40">
        <v>853.7</v>
      </c>
      <c r="S121" s="40">
        <v>853.7</v>
      </c>
      <c r="T121" s="40">
        <v>1565055.2</v>
      </c>
      <c r="U121" s="39">
        <v>1565055.2</v>
      </c>
    </row>
    <row r="122" spans="1:21">
      <c r="A122" s="36">
        <v>9802</v>
      </c>
      <c r="B122" s="40">
        <f t="shared" si="7"/>
        <v>766329</v>
      </c>
      <c r="C122" s="40">
        <f t="shared" si="8"/>
        <v>2626309</v>
      </c>
      <c r="D122" s="40">
        <f>ROUND(304426.4,0)</f>
        <v>304426</v>
      </c>
      <c r="E122" s="40">
        <f>ROUND(591307.1,0)</f>
        <v>591307</v>
      </c>
      <c r="F122" s="40">
        <f>ROUND(3,0)</f>
        <v>3</v>
      </c>
      <c r="G122" s="40">
        <f>ROUND(3,0)</f>
        <v>3</v>
      </c>
      <c r="H122" s="40">
        <f>ROUND(28545.8,0)</f>
        <v>28546</v>
      </c>
      <c r="I122" s="40">
        <f>ROUND(35254.3,0)</f>
        <v>35254</v>
      </c>
      <c r="J122" s="40">
        <f t="shared" ref="J122:K132" si="9">ROUND(0,0)</f>
        <v>0</v>
      </c>
      <c r="K122" s="40">
        <f t="shared" si="9"/>
        <v>0</v>
      </c>
      <c r="L122" s="40">
        <f>ROUND(5095.8,0)</f>
        <v>5096</v>
      </c>
      <c r="M122" s="40">
        <f>ROUND(5577.8,0)</f>
        <v>5578</v>
      </c>
      <c r="N122" s="40">
        <f>ROUND(0,0)</f>
        <v>0</v>
      </c>
      <c r="O122" s="40">
        <f>ROUND(0,0)</f>
        <v>0</v>
      </c>
      <c r="P122" s="40">
        <f>ROUND(777.8,0)</f>
        <v>778</v>
      </c>
      <c r="Q122" s="40">
        <f>ROUND(777.8,0)</f>
        <v>778</v>
      </c>
      <c r="R122" s="40">
        <f>ROUND(14703,0)</f>
        <v>14703</v>
      </c>
      <c r="S122" s="40">
        <f>ROUND(15556.7,0)</f>
        <v>15557</v>
      </c>
      <c r="T122" s="40">
        <f>ROUND(412776.6,0)</f>
        <v>412777</v>
      </c>
      <c r="U122" s="39">
        <f>ROUND(1977831.8,0)</f>
        <v>1977832</v>
      </c>
    </row>
    <row r="123" spans="1:21">
      <c r="A123" s="36">
        <v>9803</v>
      </c>
      <c r="B123" s="40">
        <f t="shared" si="7"/>
        <v>778878</v>
      </c>
      <c r="C123" s="40">
        <f t="shared" si="8"/>
        <v>3405186</v>
      </c>
      <c r="D123" s="40">
        <f>ROUND(298599.7,0)</f>
        <v>298600</v>
      </c>
      <c r="E123" s="40">
        <f>ROUND(889906.8,0)</f>
        <v>889907</v>
      </c>
      <c r="F123" s="40">
        <f>ROUND(0,0)</f>
        <v>0</v>
      </c>
      <c r="G123" s="40">
        <f>ROUND(3,0)</f>
        <v>3</v>
      </c>
      <c r="H123" s="40">
        <f>ROUND(30243.4,0)</f>
        <v>30243</v>
      </c>
      <c r="I123" s="40">
        <f>ROUND(65497.7,0)</f>
        <v>65498</v>
      </c>
      <c r="J123" s="40">
        <f t="shared" si="9"/>
        <v>0</v>
      </c>
      <c r="K123" s="40">
        <f t="shared" si="9"/>
        <v>0</v>
      </c>
      <c r="L123" s="40">
        <f>ROUND(4585.5,0)</f>
        <v>4586</v>
      </c>
      <c r="M123" s="40">
        <f>ROUND(10163.3,0)</f>
        <v>10163</v>
      </c>
      <c r="N123" s="40">
        <f>ROUND(448.1,0)</f>
        <v>448</v>
      </c>
      <c r="O123" s="40">
        <f>ROUND(448.1,0)</f>
        <v>448</v>
      </c>
      <c r="P123" s="40">
        <f>ROUND(1139.9,0)</f>
        <v>1140</v>
      </c>
      <c r="Q123" s="40">
        <f>ROUND(1917.8,0)</f>
        <v>1918</v>
      </c>
      <c r="R123" s="40">
        <f>ROUND(10289.2,0)</f>
        <v>10289</v>
      </c>
      <c r="S123" s="40">
        <f>ROUND(25845.9,0)</f>
        <v>25846</v>
      </c>
      <c r="T123" s="40">
        <f>ROUND(433571.5,0)</f>
        <v>433572</v>
      </c>
      <c r="U123" s="39">
        <f>ROUND(2411403.3,0)</f>
        <v>2411403</v>
      </c>
    </row>
    <row r="124" spans="1:21">
      <c r="A124" s="36">
        <v>9804</v>
      </c>
      <c r="B124" s="40">
        <f t="shared" si="7"/>
        <v>932037</v>
      </c>
      <c r="C124" s="40">
        <f t="shared" si="8"/>
        <v>4337224</v>
      </c>
      <c r="D124" s="40">
        <f>ROUND(491193,0)</f>
        <v>491193</v>
      </c>
      <c r="E124" s="40">
        <f>ROUND(1381099.8,0)</f>
        <v>1381100</v>
      </c>
      <c r="F124" s="40">
        <f>ROUND(2,0)</f>
        <v>2</v>
      </c>
      <c r="G124" s="40">
        <f>ROUND(5,0)</f>
        <v>5</v>
      </c>
      <c r="H124" s="40">
        <f>ROUND(31884,0)</f>
        <v>31884</v>
      </c>
      <c r="I124" s="40">
        <f>ROUND(97381.7,0)</f>
        <v>97382</v>
      </c>
      <c r="J124" s="40">
        <f t="shared" si="9"/>
        <v>0</v>
      </c>
      <c r="K124" s="40">
        <f t="shared" si="9"/>
        <v>0</v>
      </c>
      <c r="L124" s="40">
        <f>ROUND(3271.4,0)</f>
        <v>3271</v>
      </c>
      <c r="M124" s="40">
        <f>ROUND(13434.7,0)</f>
        <v>13435</v>
      </c>
      <c r="N124" s="40">
        <f>ROUND(129.2,0)</f>
        <v>129</v>
      </c>
      <c r="O124" s="40">
        <f>ROUND(577.3,0)</f>
        <v>577</v>
      </c>
      <c r="P124" s="40">
        <f>ROUND(13012.6,0)</f>
        <v>13013</v>
      </c>
      <c r="Q124" s="40">
        <f>ROUND(14930.4,0)</f>
        <v>14930</v>
      </c>
      <c r="R124" s="40">
        <f>ROUND(2385,0)</f>
        <v>2385</v>
      </c>
      <c r="S124" s="40">
        <f>ROUND(28230.9,0)</f>
        <v>28231</v>
      </c>
      <c r="T124" s="40">
        <f>ROUND(390160.3,0)</f>
        <v>390160</v>
      </c>
      <c r="U124" s="39">
        <f>ROUND(2801563.6,0)</f>
        <v>2801564</v>
      </c>
    </row>
    <row r="125" spans="1:21">
      <c r="A125" s="36">
        <v>9805</v>
      </c>
      <c r="B125" s="40">
        <f t="shared" ref="B125:B153" si="10">SUM(D125,F125,H125,J125,L125,N125,P125,R125,T125)</f>
        <v>1230638</v>
      </c>
      <c r="C125" s="40">
        <f t="shared" si="8"/>
        <v>5567862</v>
      </c>
      <c r="D125" s="40">
        <f>ROUND(626549.1,0)</f>
        <v>626549</v>
      </c>
      <c r="E125" s="40">
        <f>ROUND(2007648.9,0)</f>
        <v>2007649</v>
      </c>
      <c r="F125" s="40">
        <f>ROUND(0,0)</f>
        <v>0</v>
      </c>
      <c r="G125" s="40">
        <f>ROUND(5,0)</f>
        <v>5</v>
      </c>
      <c r="H125" s="40">
        <f>ROUND(29119.1,0)</f>
        <v>29119</v>
      </c>
      <c r="I125" s="40">
        <f>ROUND(126500.7,0)</f>
        <v>126501</v>
      </c>
      <c r="J125" s="40">
        <f t="shared" si="9"/>
        <v>0</v>
      </c>
      <c r="K125" s="40">
        <f t="shared" si="9"/>
        <v>0</v>
      </c>
      <c r="L125" s="40">
        <f>ROUND(2364.7,0)</f>
        <v>2365</v>
      </c>
      <c r="M125" s="40">
        <f>ROUND(15799.4,0)</f>
        <v>15799</v>
      </c>
      <c r="N125" s="40">
        <f>ROUND(476.6,0)</f>
        <v>477</v>
      </c>
      <c r="O125" s="40">
        <f>ROUND(1054,0)</f>
        <v>1054</v>
      </c>
      <c r="P125" s="40">
        <f>ROUND(615.4,0)</f>
        <v>615</v>
      </c>
      <c r="Q125" s="40">
        <f>ROUND(15545.8,0)</f>
        <v>15546</v>
      </c>
      <c r="R125" s="40">
        <f>ROUND(2073.4,0)</f>
        <v>2073</v>
      </c>
      <c r="S125" s="40">
        <f>ROUND(30304.3,0)</f>
        <v>30304</v>
      </c>
      <c r="T125" s="40">
        <f>ROUND(569440.4,0)</f>
        <v>569440</v>
      </c>
      <c r="U125" s="39">
        <f>ROUND(3371003.9,0)</f>
        <v>3371004</v>
      </c>
    </row>
    <row r="126" spans="1:21">
      <c r="A126" s="36">
        <v>9806</v>
      </c>
      <c r="B126" s="40">
        <f t="shared" si="10"/>
        <v>1250072</v>
      </c>
      <c r="C126" s="40">
        <f t="shared" si="8"/>
        <v>6817934</v>
      </c>
      <c r="D126" s="40">
        <f>ROUND(376150.8,0)</f>
        <v>376151</v>
      </c>
      <c r="E126" s="40">
        <f>ROUND(2383799.7,0)</f>
        <v>2383800</v>
      </c>
      <c r="F126" s="40">
        <f>ROUND(-5,0)</f>
        <v>-5</v>
      </c>
      <c r="G126" s="40">
        <f>ROUND(0,0)</f>
        <v>0</v>
      </c>
      <c r="H126" s="40">
        <f>ROUND(39144.7,0)</f>
        <v>39145</v>
      </c>
      <c r="I126" s="40">
        <f>ROUND(165645.4,0)</f>
        <v>165645</v>
      </c>
      <c r="J126" s="40">
        <f t="shared" si="9"/>
        <v>0</v>
      </c>
      <c r="K126" s="40">
        <f t="shared" si="9"/>
        <v>0</v>
      </c>
      <c r="L126" s="40">
        <f>ROUND(3498.9,0)</f>
        <v>3499</v>
      </c>
      <c r="M126" s="40">
        <f>ROUND(19298.3,0)</f>
        <v>19298</v>
      </c>
      <c r="N126" s="40">
        <f>ROUND(605.7,0)</f>
        <v>606</v>
      </c>
      <c r="O126" s="40">
        <f>ROUND(1659.6,0)</f>
        <v>1660</v>
      </c>
      <c r="P126" s="40">
        <f>ROUND(11656.7,0)</f>
        <v>11657</v>
      </c>
      <c r="Q126" s="40">
        <f>ROUND(27202.5,0)</f>
        <v>27203</v>
      </c>
      <c r="R126" s="40">
        <f>ROUND(3562.4,0)</f>
        <v>3562</v>
      </c>
      <c r="S126" s="40">
        <f>ROUND(33866.7,0)</f>
        <v>33867</v>
      </c>
      <c r="T126" s="40">
        <f>ROUND(815457,0)</f>
        <v>815457</v>
      </c>
      <c r="U126" s="39">
        <f>ROUND(4186460.9,0)</f>
        <v>4186461</v>
      </c>
    </row>
    <row r="127" spans="1:21">
      <c r="A127" s="36">
        <v>9807</v>
      </c>
      <c r="B127" s="40">
        <f t="shared" si="10"/>
        <v>1567442</v>
      </c>
      <c r="C127" s="40">
        <f t="shared" si="8"/>
        <v>8385376</v>
      </c>
      <c r="D127" s="40">
        <f>ROUND(279611.5,0)</f>
        <v>279612</v>
      </c>
      <c r="E127" s="40">
        <f>ROUND(2663411.2,0)</f>
        <v>2663411</v>
      </c>
      <c r="F127" s="40">
        <f>ROUND(0,0)</f>
        <v>0</v>
      </c>
      <c r="G127" s="40">
        <f>ROUND(0,0)</f>
        <v>0</v>
      </c>
      <c r="H127" s="40">
        <f>ROUND(32741.4,0)</f>
        <v>32741</v>
      </c>
      <c r="I127" s="40">
        <f>ROUND(198386.8,0)</f>
        <v>198387</v>
      </c>
      <c r="J127" s="40">
        <f t="shared" si="9"/>
        <v>0</v>
      </c>
      <c r="K127" s="40">
        <f t="shared" si="9"/>
        <v>0</v>
      </c>
      <c r="L127" s="40">
        <f>ROUND(8222.1,0)</f>
        <v>8222</v>
      </c>
      <c r="M127" s="40">
        <f>ROUND(27520.4,0)</f>
        <v>27520</v>
      </c>
      <c r="N127" s="40">
        <f>ROUND(336,0)</f>
        <v>336</v>
      </c>
      <c r="O127" s="40">
        <f>ROUND(1995.6,0)</f>
        <v>1996</v>
      </c>
      <c r="P127" s="40">
        <f>ROUND(0,0)</f>
        <v>0</v>
      </c>
      <c r="Q127" s="40">
        <f>ROUND(27202.5,0)</f>
        <v>27203</v>
      </c>
      <c r="R127" s="40">
        <f>ROUND(30440,0)</f>
        <v>30440</v>
      </c>
      <c r="S127" s="40">
        <f>ROUND(64306.8,0)</f>
        <v>64307</v>
      </c>
      <c r="T127" s="40">
        <f>ROUND(1216090.6,0)</f>
        <v>1216091</v>
      </c>
      <c r="U127" s="39">
        <f>ROUND(5402551.5,0)</f>
        <v>5402552</v>
      </c>
    </row>
    <row r="128" spans="1:21">
      <c r="A128" s="36">
        <v>9808</v>
      </c>
      <c r="B128" s="40">
        <f t="shared" si="10"/>
        <v>777923</v>
      </c>
      <c r="C128" s="40">
        <f t="shared" si="8"/>
        <v>9163298</v>
      </c>
      <c r="D128" s="40">
        <f>ROUND(254209.8,0)</f>
        <v>254210</v>
      </c>
      <c r="E128" s="40">
        <f>ROUND(2917620.9,0)</f>
        <v>2917621</v>
      </c>
      <c r="F128" s="40">
        <f>ROUND(0,0)</f>
        <v>0</v>
      </c>
      <c r="G128" s="40">
        <f>ROUND(0,0)</f>
        <v>0</v>
      </c>
      <c r="H128" s="40">
        <f>ROUND(30791.3,0)</f>
        <v>30791</v>
      </c>
      <c r="I128" s="40">
        <f>ROUND(229178.1,0)</f>
        <v>229178</v>
      </c>
      <c r="J128" s="40">
        <f t="shared" si="9"/>
        <v>0</v>
      </c>
      <c r="K128" s="40">
        <f t="shared" si="9"/>
        <v>0</v>
      </c>
      <c r="L128" s="40">
        <f>ROUND(1663.1,0)</f>
        <v>1663</v>
      </c>
      <c r="M128" s="40">
        <f>ROUND(29183.5,0)</f>
        <v>29184</v>
      </c>
      <c r="N128" s="40">
        <f>ROUND(820.9,0)</f>
        <v>821</v>
      </c>
      <c r="O128" s="40">
        <f>ROUND(2816.5,0)</f>
        <v>2817</v>
      </c>
      <c r="P128" s="40">
        <f>ROUND(9501.7,0)</f>
        <v>9502</v>
      </c>
      <c r="Q128" s="40">
        <f>ROUND(36704.2,0)</f>
        <v>36704</v>
      </c>
      <c r="R128" s="40">
        <f>ROUND(1245.7,0)</f>
        <v>1246</v>
      </c>
      <c r="S128" s="40">
        <f>ROUND(65552.4,0)</f>
        <v>65552</v>
      </c>
      <c r="T128" s="40">
        <f>ROUND(479690,0)</f>
        <v>479690</v>
      </c>
      <c r="U128" s="39">
        <f>ROUND(5882241.6,0)</f>
        <v>5882242</v>
      </c>
    </row>
    <row r="129" spans="1:21">
      <c r="A129" s="36">
        <v>9809</v>
      </c>
      <c r="B129" s="40">
        <f t="shared" si="10"/>
        <v>805390</v>
      </c>
      <c r="C129" s="40">
        <f t="shared" si="8"/>
        <v>9968688</v>
      </c>
      <c r="D129" s="40">
        <f>ROUND(276562.9,0)</f>
        <v>276563</v>
      </c>
      <c r="E129" s="40">
        <f>ROUND(3194183.8,0)</f>
        <v>3194184</v>
      </c>
      <c r="F129" s="40">
        <f>ROUND(6860,0)</f>
        <v>6860</v>
      </c>
      <c r="G129" s="40">
        <f>ROUND(6860,0)</f>
        <v>6860</v>
      </c>
      <c r="H129" s="40">
        <f>ROUND(34345.4,0)</f>
        <v>34345</v>
      </c>
      <c r="I129" s="40">
        <f>ROUND(263523.5,0)</f>
        <v>263524</v>
      </c>
      <c r="J129" s="40">
        <f t="shared" si="9"/>
        <v>0</v>
      </c>
      <c r="K129" s="40">
        <f t="shared" si="9"/>
        <v>0</v>
      </c>
      <c r="L129" s="40">
        <f>ROUND(7846.8,0)</f>
        <v>7847</v>
      </c>
      <c r="M129" s="40">
        <f>ROUND(37030.3,0)</f>
        <v>37030</v>
      </c>
      <c r="N129" s="40">
        <f>ROUND(-104.6,0)</f>
        <v>-105</v>
      </c>
      <c r="O129" s="40">
        <f>ROUND(2711.9,0)</f>
        <v>2712</v>
      </c>
      <c r="P129" s="40">
        <f>ROUND(1748.8,0)</f>
        <v>1749</v>
      </c>
      <c r="Q129" s="40">
        <f>ROUND(38453,0)</f>
        <v>38453</v>
      </c>
      <c r="R129" s="40">
        <f>ROUND(3380.9,0)</f>
        <v>3381</v>
      </c>
      <c r="S129" s="40">
        <f>ROUND(68933.4,0)</f>
        <v>68933</v>
      </c>
      <c r="T129" s="40">
        <f>ROUND(474750.2,0)</f>
        <v>474750</v>
      </c>
      <c r="U129" s="39">
        <f>ROUND(6356991.8,0)</f>
        <v>6356992</v>
      </c>
    </row>
    <row r="130" spans="1:21">
      <c r="A130" s="36">
        <v>9810</v>
      </c>
      <c r="B130" s="40">
        <f t="shared" si="10"/>
        <v>902064</v>
      </c>
      <c r="C130" s="40">
        <f t="shared" si="8"/>
        <v>10870751</v>
      </c>
      <c r="D130" s="40">
        <f>ROUND(333553.9,0)</f>
        <v>333554</v>
      </c>
      <c r="E130" s="40">
        <f>ROUND(3527737.7,0)</f>
        <v>3527738</v>
      </c>
      <c r="F130" s="40">
        <f>ROUND(50,0)</f>
        <v>50</v>
      </c>
      <c r="G130" s="40">
        <f>ROUND(6910,0)</f>
        <v>6910</v>
      </c>
      <c r="H130" s="40">
        <f>ROUND(33440.7,0)</f>
        <v>33441</v>
      </c>
      <c r="I130" s="40">
        <f>ROUND(296964.2,0)</f>
        <v>296964</v>
      </c>
      <c r="J130" s="40">
        <f t="shared" si="9"/>
        <v>0</v>
      </c>
      <c r="K130" s="40">
        <f t="shared" si="9"/>
        <v>0</v>
      </c>
      <c r="L130" s="40">
        <f>ROUND(9689.4,0)</f>
        <v>9689</v>
      </c>
      <c r="M130" s="40">
        <f>ROUND(46719.7,0)</f>
        <v>46720</v>
      </c>
      <c r="N130" s="40">
        <f>ROUND(123.7,0)</f>
        <v>124</v>
      </c>
      <c r="O130" s="40">
        <f>ROUND(2835.6,0)</f>
        <v>2836</v>
      </c>
      <c r="P130" s="40">
        <f>ROUND(22527.4,0)</f>
        <v>22527</v>
      </c>
      <c r="Q130" s="40">
        <f>ROUND(60980.4,0)</f>
        <v>60980</v>
      </c>
      <c r="R130" s="40">
        <f>ROUND(1791,0)</f>
        <v>1791</v>
      </c>
      <c r="S130" s="40">
        <f>ROUND(70724.3,0)</f>
        <v>70724</v>
      </c>
      <c r="T130" s="40">
        <f>ROUND(500887.6,0)</f>
        <v>500888</v>
      </c>
      <c r="U130" s="39">
        <f>ROUND(6857879.4,0)</f>
        <v>6857879</v>
      </c>
    </row>
    <row r="131" spans="1:21">
      <c r="A131" s="36">
        <v>9811</v>
      </c>
      <c r="B131" s="40">
        <f t="shared" si="10"/>
        <v>853286</v>
      </c>
      <c r="C131" s="40">
        <f t="shared" si="8"/>
        <v>11724035</v>
      </c>
      <c r="D131" s="40">
        <f>ROUND(86491.6,0)</f>
        <v>86492</v>
      </c>
      <c r="E131" s="40">
        <f>ROUND(3614229.3,0)</f>
        <v>3614229</v>
      </c>
      <c r="F131" s="40">
        <f>ROUND(-3,0)</f>
        <v>-3</v>
      </c>
      <c r="G131" s="40">
        <f>ROUND(6907,0)</f>
        <v>6907</v>
      </c>
      <c r="H131" s="40">
        <f>ROUND(27028.7,0)</f>
        <v>27029</v>
      </c>
      <c r="I131" s="40">
        <f>ROUND(323992.9,0)</f>
        <v>323993</v>
      </c>
      <c r="J131" s="40">
        <f t="shared" si="9"/>
        <v>0</v>
      </c>
      <c r="K131" s="40">
        <f t="shared" si="9"/>
        <v>0</v>
      </c>
      <c r="L131" s="40">
        <f>ROUND(7491.5,0)</f>
        <v>7492</v>
      </c>
      <c r="M131" s="40">
        <f>ROUND(54211.2,0)</f>
        <v>54211</v>
      </c>
      <c r="N131" s="40">
        <f>ROUND(0,0)</f>
        <v>0</v>
      </c>
      <c r="O131" s="40">
        <f>ROUND(2835.6,0)</f>
        <v>2836</v>
      </c>
      <c r="P131" s="40">
        <f>ROUND(23855.8,0)</f>
        <v>23856</v>
      </c>
      <c r="Q131" s="40">
        <f>ROUND(84836.2,0)</f>
        <v>84836</v>
      </c>
      <c r="R131" s="40">
        <f>ROUND(1852.8,0)</f>
        <v>1853</v>
      </c>
      <c r="S131" s="40">
        <f>ROUND(72577.2,0)</f>
        <v>72577</v>
      </c>
      <c r="T131" s="40">
        <f>ROUND(706566.8,0)</f>
        <v>706567</v>
      </c>
      <c r="U131" s="39">
        <f>ROUND(7564446.2,0)</f>
        <v>7564446</v>
      </c>
    </row>
    <row r="132" spans="1:21" s="41" customFormat="1">
      <c r="A132" s="36">
        <v>9812</v>
      </c>
      <c r="B132" s="40">
        <f t="shared" si="10"/>
        <v>1968153</v>
      </c>
      <c r="C132" s="40">
        <f t="shared" si="8"/>
        <v>13692188</v>
      </c>
      <c r="D132" s="40">
        <f>ROUND(551244.9,0)</f>
        <v>551245</v>
      </c>
      <c r="E132" s="40">
        <f>ROUND(4165474.2,0)</f>
        <v>4165474</v>
      </c>
      <c r="F132" s="40">
        <f>ROUND(0,0)</f>
        <v>0</v>
      </c>
      <c r="G132" s="40">
        <f>ROUND(6907,0)</f>
        <v>6907</v>
      </c>
      <c r="H132" s="40">
        <f>ROUND(59298,0)</f>
        <v>59298</v>
      </c>
      <c r="I132" s="40">
        <f>ROUND(383290.9,0)</f>
        <v>383291</v>
      </c>
      <c r="J132" s="40">
        <f t="shared" si="9"/>
        <v>0</v>
      </c>
      <c r="K132" s="40">
        <f t="shared" si="9"/>
        <v>0</v>
      </c>
      <c r="L132" s="40">
        <f>ROUND(50334.1,0)</f>
        <v>50334</v>
      </c>
      <c r="M132" s="40">
        <f>ROUND(104545.3,0)</f>
        <v>104545</v>
      </c>
      <c r="N132" s="40">
        <f>ROUND(16.1,0)</f>
        <v>16</v>
      </c>
      <c r="O132" s="40">
        <f>ROUND(2851.8,0)</f>
        <v>2852</v>
      </c>
      <c r="P132" s="40">
        <f>ROUND(5357,0)</f>
        <v>5357</v>
      </c>
      <c r="Q132" s="40">
        <f>ROUND(90193.2,0)</f>
        <v>90193</v>
      </c>
      <c r="R132" s="40">
        <f>ROUND(12644.2,0)</f>
        <v>12644</v>
      </c>
      <c r="S132" s="40">
        <f>ROUND(85221.4,0)</f>
        <v>85221</v>
      </c>
      <c r="T132" s="40">
        <f>ROUND(1289259,0)</f>
        <v>1289259</v>
      </c>
      <c r="U132" s="39">
        <f>ROUND(8853705.2,0)</f>
        <v>8853705</v>
      </c>
    </row>
    <row r="133" spans="1:21" s="41" customFormat="1">
      <c r="A133" s="36">
        <v>9901</v>
      </c>
      <c r="B133" s="40">
        <f t="shared" si="10"/>
        <v>803386.29999999993</v>
      </c>
      <c r="C133" s="40">
        <f t="shared" si="8"/>
        <v>803386.29999999993</v>
      </c>
      <c r="D133" s="40">
        <v>249456</v>
      </c>
      <c r="E133" s="40">
        <v>249456</v>
      </c>
      <c r="F133" s="40">
        <v>0</v>
      </c>
      <c r="G133" s="40">
        <v>0</v>
      </c>
      <c r="H133" s="40">
        <v>7665.6</v>
      </c>
      <c r="I133" s="40">
        <v>7665.6</v>
      </c>
      <c r="J133" s="40">
        <v>0</v>
      </c>
      <c r="K133" s="40">
        <v>0</v>
      </c>
      <c r="L133" s="40">
        <v>894.3</v>
      </c>
      <c r="M133" s="40">
        <v>894.3</v>
      </c>
      <c r="N133" s="40">
        <v>0</v>
      </c>
      <c r="O133" s="40">
        <v>0</v>
      </c>
      <c r="P133" s="40">
        <v>0</v>
      </c>
      <c r="Q133" s="40">
        <v>0</v>
      </c>
      <c r="R133" s="40">
        <v>1692.3</v>
      </c>
      <c r="S133" s="40">
        <v>1692.3</v>
      </c>
      <c r="T133" s="40">
        <v>543678.1</v>
      </c>
      <c r="U133" s="39">
        <v>543678.1</v>
      </c>
    </row>
    <row r="134" spans="1:21" s="41" customFormat="1">
      <c r="A134" s="36">
        <v>9902</v>
      </c>
      <c r="B134" s="40">
        <f t="shared" si="10"/>
        <v>1924539</v>
      </c>
      <c r="C134" s="40">
        <f t="shared" si="8"/>
        <v>2727925</v>
      </c>
      <c r="D134" s="40">
        <f>ROUND(262934.1,0)</f>
        <v>262934</v>
      </c>
      <c r="E134" s="40">
        <f>ROUND(512390.1,0)</f>
        <v>512390</v>
      </c>
      <c r="F134" s="40">
        <f>ROUND(1000,0)</f>
        <v>1000</v>
      </c>
      <c r="G134" s="40">
        <f>ROUND(1000,0)</f>
        <v>1000</v>
      </c>
      <c r="H134" s="40">
        <f>ROUND(24627.7,0)</f>
        <v>24628</v>
      </c>
      <c r="I134" s="40">
        <f>ROUND(32293.3,0)</f>
        <v>32293</v>
      </c>
      <c r="J134" s="40">
        <v>0</v>
      </c>
      <c r="K134" s="40">
        <v>0</v>
      </c>
      <c r="L134" s="40">
        <f>ROUND(881.2,0)</f>
        <v>881</v>
      </c>
      <c r="M134" s="40">
        <f>ROUND(1775.6,0)</f>
        <v>1776</v>
      </c>
      <c r="N134" s="40">
        <f>ROUND(0,0)</f>
        <v>0</v>
      </c>
      <c r="O134" s="40">
        <f>ROUND(0,0)</f>
        <v>0</v>
      </c>
      <c r="P134" s="40">
        <f>ROUND(10745.5,0)</f>
        <v>10746</v>
      </c>
      <c r="Q134" s="40">
        <f>ROUND(10745.5,0)</f>
        <v>10746</v>
      </c>
      <c r="R134" s="40">
        <f>ROUND(5125,0)</f>
        <v>5125</v>
      </c>
      <c r="S134" s="40">
        <f>ROUND(6817.3,0)</f>
        <v>6817</v>
      </c>
      <c r="T134" s="40">
        <f>ROUND(1619225.2,0)</f>
        <v>1619225</v>
      </c>
      <c r="U134" s="39">
        <f>ROUND(2162903.3,0)</f>
        <v>2162903</v>
      </c>
    </row>
    <row r="135" spans="1:21" s="41" customFormat="1">
      <c r="A135" s="36">
        <v>9903</v>
      </c>
      <c r="B135" s="40">
        <f t="shared" si="10"/>
        <v>930989</v>
      </c>
      <c r="C135" s="40">
        <f t="shared" si="8"/>
        <v>3658915</v>
      </c>
      <c r="D135" s="45">
        <v>331311</v>
      </c>
      <c r="E135" s="45">
        <v>843702</v>
      </c>
      <c r="F135" s="45">
        <v>0</v>
      </c>
      <c r="G135" s="45">
        <v>1000</v>
      </c>
      <c r="H135" s="45">
        <v>34391</v>
      </c>
      <c r="I135" s="45">
        <v>66684</v>
      </c>
      <c r="J135" s="40">
        <v>0</v>
      </c>
      <c r="K135" s="40">
        <v>0</v>
      </c>
      <c r="L135" s="45">
        <v>4118</v>
      </c>
      <c r="M135" s="45">
        <v>5894</v>
      </c>
      <c r="N135" s="45">
        <v>20</v>
      </c>
      <c r="O135" s="45">
        <v>20</v>
      </c>
      <c r="P135" s="45">
        <v>6177</v>
      </c>
      <c r="Q135" s="45">
        <v>16922</v>
      </c>
      <c r="R135" s="45">
        <v>5215</v>
      </c>
      <c r="S135" s="45">
        <v>12033</v>
      </c>
      <c r="T135" s="45">
        <v>549757</v>
      </c>
      <c r="U135" s="46">
        <v>2712660</v>
      </c>
    </row>
    <row r="136" spans="1:21" s="42" customFormat="1" ht="15">
      <c r="A136" s="36">
        <v>9904</v>
      </c>
      <c r="B136" s="40">
        <f t="shared" si="10"/>
        <v>1254743</v>
      </c>
      <c r="C136" s="40">
        <f t="shared" si="8"/>
        <v>4913658.0999999996</v>
      </c>
      <c r="D136" s="45">
        <v>543730.19999999995</v>
      </c>
      <c r="E136" s="45">
        <v>1387431.7</v>
      </c>
      <c r="F136" s="45">
        <v>0</v>
      </c>
      <c r="G136" s="47">
        <v>1000</v>
      </c>
      <c r="H136" s="45">
        <v>31167.3</v>
      </c>
      <c r="I136" s="45">
        <v>97851.7</v>
      </c>
      <c r="J136" s="45">
        <v>0</v>
      </c>
      <c r="K136" s="45">
        <v>0</v>
      </c>
      <c r="L136" s="45">
        <v>2717.5</v>
      </c>
      <c r="M136" s="45">
        <v>8611.4</v>
      </c>
      <c r="N136" s="45">
        <v>300.8</v>
      </c>
      <c r="O136" s="45">
        <v>320.8</v>
      </c>
      <c r="P136" s="45">
        <v>36656.9</v>
      </c>
      <c r="Q136" s="45">
        <v>53579.3</v>
      </c>
      <c r="R136" s="45">
        <v>2574.8000000000002</v>
      </c>
      <c r="S136" s="45">
        <v>14607.4</v>
      </c>
      <c r="T136" s="45">
        <v>637595.5</v>
      </c>
      <c r="U136" s="46">
        <v>3350255.8</v>
      </c>
    </row>
    <row r="137" spans="1:21" s="41" customFormat="1">
      <c r="A137" s="36">
        <v>9905</v>
      </c>
      <c r="B137" s="40">
        <f t="shared" si="10"/>
        <v>1177120.8999999999</v>
      </c>
      <c r="C137" s="40">
        <f t="shared" si="8"/>
        <v>6090779.0999999996</v>
      </c>
      <c r="D137" s="48">
        <v>663664.5</v>
      </c>
      <c r="E137" s="48">
        <v>2051096.3</v>
      </c>
      <c r="F137" s="49">
        <v>0</v>
      </c>
      <c r="G137" s="49">
        <v>1000</v>
      </c>
      <c r="H137" s="48">
        <v>30450.1</v>
      </c>
      <c r="I137" s="48">
        <v>128301.8</v>
      </c>
      <c r="J137" s="48">
        <v>0</v>
      </c>
      <c r="K137" s="48">
        <v>0</v>
      </c>
      <c r="L137" s="48">
        <v>1052.5999999999999</v>
      </c>
      <c r="M137" s="48">
        <v>9664</v>
      </c>
      <c r="N137" s="48">
        <v>206</v>
      </c>
      <c r="O137" s="48">
        <v>526.79999999999995</v>
      </c>
      <c r="P137" s="48">
        <v>1272.8</v>
      </c>
      <c r="Q137" s="48">
        <v>54852.1</v>
      </c>
      <c r="R137" s="48">
        <v>2147.6</v>
      </c>
      <c r="S137" s="48">
        <v>16755</v>
      </c>
      <c r="T137" s="48">
        <v>478327.3</v>
      </c>
      <c r="U137" s="50">
        <v>3828583.1</v>
      </c>
    </row>
    <row r="138" spans="1:21" s="43" customFormat="1" ht="15">
      <c r="A138" s="36">
        <v>9906</v>
      </c>
      <c r="B138" s="40">
        <f t="shared" si="10"/>
        <v>1718245.9</v>
      </c>
      <c r="C138" s="40">
        <f t="shared" si="8"/>
        <v>7809025</v>
      </c>
      <c r="D138" s="48">
        <v>430830.5</v>
      </c>
      <c r="E138" s="48">
        <v>2481926.7999999998</v>
      </c>
      <c r="F138" s="48">
        <v>0</v>
      </c>
      <c r="G138" s="48">
        <v>1000</v>
      </c>
      <c r="H138" s="48">
        <v>34350.6</v>
      </c>
      <c r="I138" s="48">
        <v>162652.4</v>
      </c>
      <c r="J138" s="48">
        <v>0</v>
      </c>
      <c r="K138" s="48">
        <v>0</v>
      </c>
      <c r="L138" s="48">
        <v>9590.5</v>
      </c>
      <c r="M138" s="48">
        <v>19254.5</v>
      </c>
      <c r="N138" s="48">
        <v>215.2</v>
      </c>
      <c r="O138" s="48">
        <v>742</v>
      </c>
      <c r="P138" s="48">
        <v>475</v>
      </c>
      <c r="Q138" s="48">
        <v>55327.1</v>
      </c>
      <c r="R138" s="48">
        <v>26206.1</v>
      </c>
      <c r="S138" s="48">
        <v>42961.1</v>
      </c>
      <c r="T138" s="48">
        <v>1216578</v>
      </c>
      <c r="U138" s="50">
        <v>5045161.0999999996</v>
      </c>
    </row>
    <row r="139" spans="1:21" s="41" customFormat="1">
      <c r="A139" s="36">
        <v>9907</v>
      </c>
      <c r="B139" s="40">
        <f t="shared" si="10"/>
        <v>953000.5</v>
      </c>
      <c r="C139" s="40">
        <f t="shared" si="8"/>
        <v>8762025.6000000015</v>
      </c>
      <c r="D139" s="48">
        <v>327322.90000000002</v>
      </c>
      <c r="E139" s="48">
        <v>2809249.7</v>
      </c>
      <c r="F139" s="48">
        <v>24920.2</v>
      </c>
      <c r="G139" s="48">
        <v>25920.2</v>
      </c>
      <c r="H139" s="48">
        <v>31103.7</v>
      </c>
      <c r="I139" s="48">
        <v>193756.1</v>
      </c>
      <c r="J139" s="48">
        <v>0</v>
      </c>
      <c r="K139" s="48">
        <v>0</v>
      </c>
      <c r="L139" s="48">
        <v>4883.7</v>
      </c>
      <c r="M139" s="48">
        <v>24138.2</v>
      </c>
      <c r="N139" s="48">
        <v>0</v>
      </c>
      <c r="O139" s="48">
        <v>742</v>
      </c>
      <c r="P139" s="48">
        <v>1835.6</v>
      </c>
      <c r="Q139" s="48">
        <v>57162.7</v>
      </c>
      <c r="R139" s="48">
        <v>2747.3</v>
      </c>
      <c r="S139" s="48">
        <v>45708.4</v>
      </c>
      <c r="T139" s="48">
        <v>560187.1</v>
      </c>
      <c r="U139" s="50">
        <v>5605348.2999999998</v>
      </c>
    </row>
    <row r="140" spans="1:21" s="42" customFormat="1" ht="15">
      <c r="A140" s="36">
        <v>9908</v>
      </c>
      <c r="B140" s="40">
        <f t="shared" si="10"/>
        <v>954302.10000000009</v>
      </c>
      <c r="C140" s="40">
        <f t="shared" si="8"/>
        <v>9716327.7000000011</v>
      </c>
      <c r="D140" s="48">
        <v>269099.3</v>
      </c>
      <c r="E140" s="48">
        <v>3078349</v>
      </c>
      <c r="F140" s="48">
        <v>100</v>
      </c>
      <c r="G140" s="48">
        <v>26020.2</v>
      </c>
      <c r="H140" s="48">
        <v>31760.9</v>
      </c>
      <c r="I140" s="48">
        <v>225517</v>
      </c>
      <c r="J140" s="48">
        <v>0</v>
      </c>
      <c r="K140" s="48">
        <v>0</v>
      </c>
      <c r="L140" s="48">
        <v>6790.7</v>
      </c>
      <c r="M140" s="48">
        <v>30928.9</v>
      </c>
      <c r="N140" s="48">
        <v>238.1</v>
      </c>
      <c r="O140" s="48">
        <v>980.1</v>
      </c>
      <c r="P140" s="48">
        <v>11913.5</v>
      </c>
      <c r="Q140" s="48">
        <v>69076.2</v>
      </c>
      <c r="R140" s="48">
        <v>4469.2</v>
      </c>
      <c r="S140" s="48">
        <v>50177.599999999999</v>
      </c>
      <c r="T140" s="48">
        <v>629930.4</v>
      </c>
      <c r="U140" s="50">
        <v>6235278.7000000002</v>
      </c>
    </row>
    <row r="141" spans="1:21" s="41" customFormat="1">
      <c r="A141" s="36">
        <v>9909</v>
      </c>
      <c r="B141" s="40">
        <f t="shared" si="10"/>
        <v>847398.7</v>
      </c>
      <c r="C141" s="40">
        <f t="shared" si="8"/>
        <v>10563726.300000001</v>
      </c>
      <c r="D141" s="48">
        <v>283272.09999999998</v>
      </c>
      <c r="E141" s="48">
        <v>3361621</v>
      </c>
      <c r="F141" s="49">
        <v>3119.2</v>
      </c>
      <c r="G141" s="48">
        <v>29139.4</v>
      </c>
      <c r="H141" s="49">
        <v>32747.599999999999</v>
      </c>
      <c r="I141" s="48">
        <v>258264.6</v>
      </c>
      <c r="J141" s="48">
        <v>0</v>
      </c>
      <c r="K141" s="48">
        <v>0</v>
      </c>
      <c r="L141" s="48">
        <v>9062.7999999999993</v>
      </c>
      <c r="M141" s="48">
        <v>39991.699999999997</v>
      </c>
      <c r="N141" s="48">
        <v>0</v>
      </c>
      <c r="O141" s="48">
        <v>980.1</v>
      </c>
      <c r="P141" s="48">
        <v>3168.8</v>
      </c>
      <c r="Q141" s="48">
        <v>72245.100000000006</v>
      </c>
      <c r="R141" s="48">
        <v>680.3</v>
      </c>
      <c r="S141" s="48">
        <v>50857.9</v>
      </c>
      <c r="T141" s="48">
        <v>515347.9</v>
      </c>
      <c r="U141" s="50">
        <v>6750626.5</v>
      </c>
    </row>
    <row r="142" spans="1:21" s="41" customFormat="1">
      <c r="A142" s="36">
        <v>9910</v>
      </c>
      <c r="B142" s="40">
        <f t="shared" si="10"/>
        <v>806690</v>
      </c>
      <c r="C142" s="40">
        <f t="shared" si="8"/>
        <v>11370415.6</v>
      </c>
      <c r="D142" s="48">
        <f>ROUND(264674.7,0)</f>
        <v>264675</v>
      </c>
      <c r="E142" s="48">
        <f>E141+D142</f>
        <v>3626296</v>
      </c>
      <c r="F142" s="49">
        <v>550</v>
      </c>
      <c r="G142" s="48">
        <f>G141+F142</f>
        <v>29689.4</v>
      </c>
      <c r="H142" s="40">
        <f>ROUND(38913.3,0)</f>
        <v>38913</v>
      </c>
      <c r="I142" s="48">
        <f>I141+H142</f>
        <v>297177.59999999998</v>
      </c>
      <c r="J142" s="48">
        <v>0</v>
      </c>
      <c r="K142" s="48">
        <v>0</v>
      </c>
      <c r="L142" s="48">
        <f>ROUND(4825.7,0)</f>
        <v>4826</v>
      </c>
      <c r="M142" s="48">
        <f>ROUND(44817.4,0)</f>
        <v>44817</v>
      </c>
      <c r="N142" s="48">
        <v>751</v>
      </c>
      <c r="O142" s="48">
        <f>O141+N142</f>
        <v>1731.1</v>
      </c>
      <c r="P142" s="40">
        <f>ROUND(42300.2,0)</f>
        <v>42300</v>
      </c>
      <c r="Q142" s="48">
        <f>Q141+P142</f>
        <v>114545.1</v>
      </c>
      <c r="R142" s="48">
        <v>2246</v>
      </c>
      <c r="S142" s="48">
        <f>S141+R142</f>
        <v>53103.9</v>
      </c>
      <c r="T142" s="48">
        <f>ROUND(452428.9,0)</f>
        <v>452429</v>
      </c>
      <c r="U142" s="50">
        <f>U141+T142</f>
        <v>7203055.5</v>
      </c>
    </row>
    <row r="143" spans="1:21" s="41" customFormat="1">
      <c r="A143" s="36">
        <v>9911</v>
      </c>
      <c r="B143" s="40">
        <f t="shared" si="10"/>
        <v>941143.3</v>
      </c>
      <c r="C143" s="40">
        <f t="shared" si="8"/>
        <v>12311559.4</v>
      </c>
      <c r="D143" s="48">
        <v>318665</v>
      </c>
      <c r="E143" s="48">
        <f>E142+D143</f>
        <v>3944961</v>
      </c>
      <c r="F143" s="49">
        <v>0</v>
      </c>
      <c r="G143" s="48">
        <f>G142+F143</f>
        <v>29689.4</v>
      </c>
      <c r="H143" s="40">
        <v>30353</v>
      </c>
      <c r="I143" s="48">
        <f>I142+H143</f>
        <v>327530.59999999998</v>
      </c>
      <c r="J143" s="48">
        <v>0</v>
      </c>
      <c r="K143" s="48">
        <v>0</v>
      </c>
      <c r="L143" s="48">
        <v>4933</v>
      </c>
      <c r="M143" s="48">
        <v>49751</v>
      </c>
      <c r="N143" s="48">
        <v>2.2999999999999998</v>
      </c>
      <c r="O143" s="48">
        <f>O142+N143</f>
        <v>1733.3999999999999</v>
      </c>
      <c r="P143" s="40">
        <v>13672</v>
      </c>
      <c r="Q143" s="48">
        <f>Q142+P143</f>
        <v>128217.1</v>
      </c>
      <c r="R143" s="48">
        <v>769</v>
      </c>
      <c r="S143" s="48">
        <f>S142+R143</f>
        <v>53872.9</v>
      </c>
      <c r="T143" s="48">
        <v>572749</v>
      </c>
      <c r="U143" s="50">
        <v>7775804</v>
      </c>
    </row>
    <row r="144" spans="1:21" s="41" customFormat="1">
      <c r="A144" s="36">
        <v>9912</v>
      </c>
      <c r="B144" s="40">
        <f t="shared" si="10"/>
        <v>1575105.9</v>
      </c>
      <c r="C144" s="40">
        <f t="shared" si="8"/>
        <v>13886664.300000001</v>
      </c>
      <c r="D144" s="48">
        <v>487475</v>
      </c>
      <c r="E144" s="48">
        <f>E143+D144</f>
        <v>4432436</v>
      </c>
      <c r="F144" s="49">
        <v>27825</v>
      </c>
      <c r="G144" s="48">
        <f>G143+F144</f>
        <v>57514.400000000001</v>
      </c>
      <c r="H144" s="40">
        <v>70741</v>
      </c>
      <c r="I144" s="48">
        <f>I143+H144</f>
        <v>398271.6</v>
      </c>
      <c r="J144" s="48">
        <v>0</v>
      </c>
      <c r="K144" s="48">
        <v>0</v>
      </c>
      <c r="L144" s="48">
        <v>15631</v>
      </c>
      <c r="M144" s="48">
        <f>ROUND(65381,0)</f>
        <v>65381</v>
      </c>
      <c r="N144" s="48">
        <v>1313.9</v>
      </c>
      <c r="O144" s="48">
        <f>O143+N144</f>
        <v>3047.3</v>
      </c>
      <c r="P144" s="40">
        <v>28259</v>
      </c>
      <c r="Q144" s="48">
        <f>Q143+P144</f>
        <v>156476.1</v>
      </c>
      <c r="R144" s="48">
        <v>29393</v>
      </c>
      <c r="S144" s="48">
        <f>S143+R144</f>
        <v>83265.899999999994</v>
      </c>
      <c r="T144" s="48">
        <v>914468</v>
      </c>
      <c r="U144" s="50">
        <f>U143+T144</f>
        <v>8690272</v>
      </c>
    </row>
    <row r="145" spans="1:21" s="41" customFormat="1">
      <c r="A145" s="36">
        <v>10001</v>
      </c>
      <c r="B145" s="40">
        <f t="shared" si="10"/>
        <v>2694194.5</v>
      </c>
      <c r="C145" s="40">
        <f t="shared" si="8"/>
        <v>2694194.5</v>
      </c>
      <c r="D145" s="48">
        <v>678024.4</v>
      </c>
      <c r="E145" s="48">
        <v>678024.4</v>
      </c>
      <c r="F145" s="49">
        <v>0</v>
      </c>
      <c r="G145" s="48">
        <v>0</v>
      </c>
      <c r="H145" s="40">
        <v>11367.6</v>
      </c>
      <c r="I145" s="40">
        <v>11367.6</v>
      </c>
      <c r="J145" s="48">
        <v>0</v>
      </c>
      <c r="K145" s="48">
        <v>0</v>
      </c>
      <c r="L145" s="48">
        <v>889</v>
      </c>
      <c r="M145" s="48">
        <v>889</v>
      </c>
      <c r="N145" s="48">
        <v>0</v>
      </c>
      <c r="O145" s="48">
        <v>0</v>
      </c>
      <c r="P145" s="40">
        <v>240.4</v>
      </c>
      <c r="Q145" s="48">
        <v>240.4</v>
      </c>
      <c r="R145" s="48">
        <v>1667</v>
      </c>
      <c r="S145" s="48">
        <v>1667</v>
      </c>
      <c r="T145" s="48">
        <v>2002006.1</v>
      </c>
      <c r="U145" s="50">
        <v>2002006.1</v>
      </c>
    </row>
    <row r="146" spans="1:21">
      <c r="A146" s="36">
        <v>10002</v>
      </c>
      <c r="B146" s="40">
        <f t="shared" si="10"/>
        <v>699855.89999999991</v>
      </c>
      <c r="C146" s="40">
        <f t="shared" si="8"/>
        <v>3394050.6</v>
      </c>
      <c r="D146" s="48">
        <v>304505.2</v>
      </c>
      <c r="E146" s="48">
        <f t="shared" ref="E146:E153" si="11">E145+D146</f>
        <v>982529.60000000009</v>
      </c>
      <c r="F146" s="49">
        <v>0</v>
      </c>
      <c r="G146" s="48">
        <f>G145+F146</f>
        <v>0</v>
      </c>
      <c r="H146" s="40">
        <v>23226.1</v>
      </c>
      <c r="I146" s="48">
        <f t="shared" ref="I146:I153" si="12">I145+H146</f>
        <v>34593.699999999997</v>
      </c>
      <c r="J146" s="48">
        <v>0</v>
      </c>
      <c r="K146" s="48">
        <v>0</v>
      </c>
      <c r="L146" s="48">
        <v>730.8</v>
      </c>
      <c r="M146" s="48">
        <v>1620</v>
      </c>
      <c r="N146" s="48">
        <v>0</v>
      </c>
      <c r="O146" s="48">
        <v>0</v>
      </c>
      <c r="P146" s="40">
        <v>1394.2</v>
      </c>
      <c r="Q146" s="48">
        <f t="shared" ref="Q146:Q153" si="13">Q145+P146</f>
        <v>1634.6000000000001</v>
      </c>
      <c r="R146" s="48">
        <v>2401.5</v>
      </c>
      <c r="S146" s="48">
        <f t="shared" ref="S146:S153" si="14">S145+R146</f>
        <v>4068.5</v>
      </c>
      <c r="T146" s="48">
        <v>367598.1</v>
      </c>
      <c r="U146" s="50">
        <f>U145+T146</f>
        <v>2369604.2000000002</v>
      </c>
    </row>
    <row r="147" spans="1:21" s="41" customFormat="1">
      <c r="A147" s="36">
        <v>10003</v>
      </c>
      <c r="B147" s="40">
        <f t="shared" si="10"/>
        <v>889524.90000000014</v>
      </c>
      <c r="C147" s="40">
        <f t="shared" si="8"/>
        <v>4283575.5</v>
      </c>
      <c r="D147" s="48">
        <v>279703.2</v>
      </c>
      <c r="E147" s="48">
        <f t="shared" si="11"/>
        <v>1262232.8</v>
      </c>
      <c r="F147" s="49">
        <v>0</v>
      </c>
      <c r="G147" s="48">
        <v>0</v>
      </c>
      <c r="H147" s="40">
        <v>29841</v>
      </c>
      <c r="I147" s="48">
        <f t="shared" si="12"/>
        <v>64434.7</v>
      </c>
      <c r="J147" s="48">
        <v>0</v>
      </c>
      <c r="K147" s="48">
        <v>0</v>
      </c>
      <c r="L147" s="48">
        <v>7633.8</v>
      </c>
      <c r="M147" s="48">
        <f>M148-L148</f>
        <v>9253.8000000000011</v>
      </c>
      <c r="N147" s="48">
        <v>0</v>
      </c>
      <c r="O147" s="48">
        <v>0</v>
      </c>
      <c r="P147" s="40">
        <v>27383.7</v>
      </c>
      <c r="Q147" s="48">
        <f t="shared" si="13"/>
        <v>29018.3</v>
      </c>
      <c r="R147" s="48">
        <v>6647.9</v>
      </c>
      <c r="S147" s="48">
        <f t="shared" si="14"/>
        <v>10716.4</v>
      </c>
      <c r="T147" s="48">
        <v>538315.30000000005</v>
      </c>
      <c r="U147" s="50">
        <f>U146+T147</f>
        <v>2907919.5</v>
      </c>
    </row>
    <row r="148" spans="1:21" s="41" customFormat="1">
      <c r="A148" s="36">
        <v>10004</v>
      </c>
      <c r="B148" s="40">
        <f t="shared" si="10"/>
        <v>1291537.7999999998</v>
      </c>
      <c r="C148" s="40">
        <f t="shared" si="8"/>
        <v>5575113.2999999998</v>
      </c>
      <c r="D148" s="48">
        <v>484862.6</v>
      </c>
      <c r="E148" s="48">
        <f t="shared" si="11"/>
        <v>1747095.4</v>
      </c>
      <c r="F148" s="49">
        <v>0</v>
      </c>
      <c r="G148" s="48">
        <f>G147+F148</f>
        <v>0</v>
      </c>
      <c r="H148" s="40">
        <v>36736.199999999997</v>
      </c>
      <c r="I148" s="48">
        <f t="shared" si="12"/>
        <v>101170.9</v>
      </c>
      <c r="J148" s="48">
        <v>0</v>
      </c>
      <c r="K148" s="48">
        <v>0</v>
      </c>
      <c r="L148" s="48">
        <v>4268.3999999999996</v>
      </c>
      <c r="M148" s="48">
        <v>13522.2</v>
      </c>
      <c r="N148" s="48">
        <v>154</v>
      </c>
      <c r="O148" s="48">
        <v>154</v>
      </c>
      <c r="P148" s="40">
        <v>10177</v>
      </c>
      <c r="Q148" s="48">
        <f t="shared" si="13"/>
        <v>39195.300000000003</v>
      </c>
      <c r="R148" s="48">
        <v>10361.200000000001</v>
      </c>
      <c r="S148" s="48">
        <f t="shared" si="14"/>
        <v>21077.599999999999</v>
      </c>
      <c r="T148" s="48">
        <v>744978.4</v>
      </c>
      <c r="U148" s="50">
        <f>U147+T148</f>
        <v>3652897.9</v>
      </c>
    </row>
    <row r="149" spans="1:21" s="41" customFormat="1">
      <c r="A149" s="36">
        <v>10005</v>
      </c>
      <c r="B149" s="40">
        <f t="shared" si="10"/>
        <v>1259696.2999999998</v>
      </c>
      <c r="C149" s="40">
        <f t="shared" si="8"/>
        <v>6834809</v>
      </c>
      <c r="D149" s="48">
        <v>613517.69999999995</v>
      </c>
      <c r="E149" s="48">
        <f t="shared" si="11"/>
        <v>2360613.0999999996</v>
      </c>
      <c r="F149" s="49">
        <v>30</v>
      </c>
      <c r="G149" s="48">
        <v>30</v>
      </c>
      <c r="H149" s="40">
        <v>29658.1</v>
      </c>
      <c r="I149" s="48">
        <f t="shared" si="12"/>
        <v>130829</v>
      </c>
      <c r="J149" s="48">
        <v>0</v>
      </c>
      <c r="K149" s="48">
        <v>0</v>
      </c>
      <c r="L149" s="48">
        <v>3223.8</v>
      </c>
      <c r="M149" s="48">
        <f>M148+L149</f>
        <v>16746</v>
      </c>
      <c r="N149" s="48">
        <v>22</v>
      </c>
      <c r="O149" s="48">
        <f>O148+N149</f>
        <v>176</v>
      </c>
      <c r="P149" s="40">
        <v>30675.599999999999</v>
      </c>
      <c r="Q149" s="48">
        <f t="shared" si="13"/>
        <v>69870.899999999994</v>
      </c>
      <c r="R149" s="48">
        <v>12581.4</v>
      </c>
      <c r="S149" s="48">
        <f t="shared" si="14"/>
        <v>33659</v>
      </c>
      <c r="T149" s="48">
        <v>569987.69999999995</v>
      </c>
      <c r="U149" s="50">
        <v>4222885</v>
      </c>
    </row>
    <row r="150" spans="1:21" s="41" customFormat="1">
      <c r="A150" s="36">
        <v>10006</v>
      </c>
      <c r="B150" s="40">
        <f t="shared" si="10"/>
        <v>1397559.1</v>
      </c>
      <c r="C150" s="40">
        <f t="shared" si="8"/>
        <v>8232368.6999999993</v>
      </c>
      <c r="D150" s="48">
        <v>441998.7</v>
      </c>
      <c r="E150" s="48">
        <f t="shared" si="11"/>
        <v>2802611.8</v>
      </c>
      <c r="F150" s="49">
        <v>927.5</v>
      </c>
      <c r="G150" s="48">
        <f>G149+F150</f>
        <v>957.5</v>
      </c>
      <c r="H150" s="40">
        <v>29182</v>
      </c>
      <c r="I150" s="48">
        <f t="shared" si="12"/>
        <v>160011</v>
      </c>
      <c r="J150" s="48">
        <v>0</v>
      </c>
      <c r="K150" s="48">
        <v>0</v>
      </c>
      <c r="L150" s="48">
        <v>6870.3</v>
      </c>
      <c r="M150" s="48">
        <f>M149+L150</f>
        <v>23616.3</v>
      </c>
      <c r="N150" s="48">
        <v>0</v>
      </c>
      <c r="O150" s="48">
        <f>O149+N150</f>
        <v>176</v>
      </c>
      <c r="P150" s="40">
        <v>2278.1999999999998</v>
      </c>
      <c r="Q150" s="48">
        <f t="shared" si="13"/>
        <v>72149.099999999991</v>
      </c>
      <c r="R150" s="48">
        <v>2924</v>
      </c>
      <c r="S150" s="48">
        <f t="shared" si="14"/>
        <v>36583</v>
      </c>
      <c r="T150" s="48">
        <v>913378.4</v>
      </c>
      <c r="U150" s="50">
        <v>5136264</v>
      </c>
    </row>
    <row r="151" spans="1:21" s="41" customFormat="1">
      <c r="A151" s="36">
        <v>10007</v>
      </c>
      <c r="B151" s="40">
        <f t="shared" si="10"/>
        <v>996041.6</v>
      </c>
      <c r="C151" s="40">
        <f t="shared" si="8"/>
        <v>9228410.2999999989</v>
      </c>
      <c r="D151" s="48">
        <v>310328.8</v>
      </c>
      <c r="E151" s="48">
        <f t="shared" si="11"/>
        <v>3112940.5999999996</v>
      </c>
      <c r="F151" s="49">
        <v>-927.5</v>
      </c>
      <c r="G151" s="48">
        <f>G150+F151</f>
        <v>30</v>
      </c>
      <c r="H151" s="40">
        <v>37034.300000000003</v>
      </c>
      <c r="I151" s="48">
        <f t="shared" si="12"/>
        <v>197045.3</v>
      </c>
      <c r="J151" s="48">
        <v>0</v>
      </c>
      <c r="K151" s="48">
        <v>0</v>
      </c>
      <c r="L151" s="48">
        <v>11499.5</v>
      </c>
      <c r="M151" s="48">
        <f>M150+L151</f>
        <v>35115.800000000003</v>
      </c>
      <c r="N151" s="48">
        <v>154.5</v>
      </c>
      <c r="O151" s="48">
        <f>O150+N151</f>
        <v>330.5</v>
      </c>
      <c r="P151" s="40">
        <v>730.7</v>
      </c>
      <c r="Q151" s="48">
        <f t="shared" si="13"/>
        <v>72879.799999999988</v>
      </c>
      <c r="R151" s="48">
        <v>7285.7</v>
      </c>
      <c r="S151" s="48">
        <f t="shared" si="14"/>
        <v>43868.7</v>
      </c>
      <c r="T151" s="48">
        <v>629935.6</v>
      </c>
      <c r="U151" s="50">
        <f>U150+T151</f>
        <v>5766199.5999999996</v>
      </c>
    </row>
    <row r="152" spans="1:21">
      <c r="A152" s="36">
        <v>10008</v>
      </c>
      <c r="B152" s="40">
        <f t="shared" si="10"/>
        <v>1558988.9</v>
      </c>
      <c r="C152" s="40">
        <f t="shared" si="8"/>
        <v>10787399.199999999</v>
      </c>
      <c r="D152" s="48">
        <v>295245.09999999998</v>
      </c>
      <c r="E152" s="48">
        <f t="shared" si="11"/>
        <v>3408185.6999999997</v>
      </c>
      <c r="F152" s="49">
        <v>1500</v>
      </c>
      <c r="G152" s="48">
        <f>G151+F152</f>
        <v>1530</v>
      </c>
      <c r="H152" s="40">
        <v>34447.800000000003</v>
      </c>
      <c r="I152" s="48">
        <f t="shared" si="12"/>
        <v>231493.09999999998</v>
      </c>
      <c r="J152" s="48">
        <v>0</v>
      </c>
      <c r="K152" s="48">
        <v>0</v>
      </c>
      <c r="L152" s="48">
        <v>12432.2</v>
      </c>
      <c r="M152" s="48">
        <f>M151+L152</f>
        <v>47548</v>
      </c>
      <c r="N152" s="48">
        <v>44</v>
      </c>
      <c r="O152" s="48">
        <f>O151+N152</f>
        <v>374.5</v>
      </c>
      <c r="P152" s="40">
        <v>576.9</v>
      </c>
      <c r="Q152" s="48">
        <f t="shared" si="13"/>
        <v>73456.699999999983</v>
      </c>
      <c r="R152" s="48">
        <v>1761.9</v>
      </c>
      <c r="S152" s="48">
        <f t="shared" si="14"/>
        <v>45630.6</v>
      </c>
      <c r="T152" s="48">
        <v>1212981</v>
      </c>
      <c r="U152" s="50">
        <f>U151+T152</f>
        <v>6979180.5999999996</v>
      </c>
    </row>
    <row r="153" spans="1:21">
      <c r="A153" s="36">
        <v>10009</v>
      </c>
      <c r="B153" s="40">
        <f t="shared" si="10"/>
        <v>416620.1</v>
      </c>
      <c r="C153" s="40">
        <f t="shared" si="8"/>
        <v>11204019.300000001</v>
      </c>
      <c r="D153" s="48">
        <v>307787.2</v>
      </c>
      <c r="E153" s="48">
        <f t="shared" si="11"/>
        <v>3715972.9</v>
      </c>
      <c r="F153" s="49">
        <v>0</v>
      </c>
      <c r="G153" s="48">
        <f>G152+F153</f>
        <v>1530</v>
      </c>
      <c r="H153" s="40">
        <v>30312.1</v>
      </c>
      <c r="I153" s="48">
        <f t="shared" si="12"/>
        <v>261805.19999999998</v>
      </c>
      <c r="J153" s="48">
        <v>0</v>
      </c>
      <c r="K153" s="48">
        <v>0</v>
      </c>
      <c r="L153" s="48">
        <v>5619.8</v>
      </c>
      <c r="M153" s="48">
        <f>M152+L153</f>
        <v>53167.8</v>
      </c>
      <c r="N153" s="48">
        <v>0</v>
      </c>
      <c r="O153" s="48">
        <f>O152+N153</f>
        <v>374.5</v>
      </c>
      <c r="P153" s="40">
        <v>6020.7</v>
      </c>
      <c r="Q153" s="48">
        <f t="shared" si="13"/>
        <v>79477.39999999998</v>
      </c>
      <c r="R153" s="48">
        <v>10778.6</v>
      </c>
      <c r="S153" s="48">
        <f t="shared" si="14"/>
        <v>56409.2</v>
      </c>
      <c r="T153" s="48">
        <v>56101.7</v>
      </c>
      <c r="U153" s="50">
        <f>U152+T153</f>
        <v>7035282.2999999998</v>
      </c>
    </row>
    <row r="154" spans="1:21">
      <c r="A154" s="36">
        <v>10010</v>
      </c>
      <c r="B154" s="40">
        <v>1257751</v>
      </c>
      <c r="C154" s="40">
        <v>12461771</v>
      </c>
      <c r="D154" s="48">
        <v>318540.79999999999</v>
      </c>
      <c r="E154" s="48">
        <v>4034513.6</v>
      </c>
      <c r="F154" s="49">
        <v>0</v>
      </c>
      <c r="G154" s="48">
        <v>1530</v>
      </c>
      <c r="H154" s="40">
        <v>30802.799999999999</v>
      </c>
      <c r="I154" s="48">
        <v>292608</v>
      </c>
      <c r="J154" s="48">
        <v>0</v>
      </c>
      <c r="K154" s="48">
        <v>0</v>
      </c>
      <c r="L154" s="48">
        <v>13685.6</v>
      </c>
      <c r="M154" s="48">
        <v>66853.3</v>
      </c>
      <c r="N154" s="48">
        <v>22</v>
      </c>
      <c r="O154" s="48">
        <v>396.5</v>
      </c>
      <c r="P154" s="40">
        <v>43396.5</v>
      </c>
      <c r="Q154" s="48">
        <v>122873.9</v>
      </c>
      <c r="R154" s="48">
        <v>5685.2</v>
      </c>
      <c r="S154" s="48">
        <v>62094.5</v>
      </c>
      <c r="T154" s="48">
        <v>845618.5</v>
      </c>
      <c r="U154" s="50">
        <v>7880900.7999999998</v>
      </c>
    </row>
    <row r="155" spans="1:21" customFormat="1">
      <c r="A155" s="44">
        <v>10011</v>
      </c>
      <c r="B155" s="40">
        <f>SUM(D155,F155,H155,J155,L155,N155,P155,R155,T155)</f>
        <v>1025925.7000000001</v>
      </c>
      <c r="C155" s="40">
        <f>SUM(E155,G155,I155,K155,M155,O155,Q155,S155,U155)</f>
        <v>13487696.300000001</v>
      </c>
      <c r="D155" s="48">
        <v>280752.2</v>
      </c>
      <c r="E155" s="48">
        <v>4315265.8</v>
      </c>
      <c r="F155" s="49">
        <v>0</v>
      </c>
      <c r="G155" s="48">
        <v>1530</v>
      </c>
      <c r="H155" s="40">
        <v>36305.4</v>
      </c>
      <c r="I155" s="48">
        <v>328913.40000000002</v>
      </c>
      <c r="J155" s="48">
        <v>0</v>
      </c>
      <c r="K155" s="48">
        <v>0</v>
      </c>
      <c r="L155" s="48">
        <v>7899.7</v>
      </c>
      <c r="M155" s="48">
        <v>74753</v>
      </c>
      <c r="N155" s="48">
        <v>656.9</v>
      </c>
      <c r="O155" s="48">
        <v>1053.4000000000001</v>
      </c>
      <c r="P155" s="40">
        <v>18173.099999999999</v>
      </c>
      <c r="Q155" s="48">
        <v>141047</v>
      </c>
      <c r="R155" s="48">
        <v>17071.5</v>
      </c>
      <c r="S155" s="48">
        <v>79166</v>
      </c>
      <c r="T155" s="48">
        <v>665066.9</v>
      </c>
      <c r="U155" s="50">
        <v>8545967.6999999993</v>
      </c>
    </row>
    <row r="156" spans="1:21">
      <c r="A156" s="44">
        <v>10012</v>
      </c>
      <c r="B156" s="40">
        <v>1949943</v>
      </c>
      <c r="C156" s="40">
        <v>15437640</v>
      </c>
      <c r="D156" s="48">
        <v>605524</v>
      </c>
      <c r="E156" s="48">
        <v>4920789.7</v>
      </c>
      <c r="F156" s="49">
        <v>2940</v>
      </c>
      <c r="G156" s="48">
        <v>4470</v>
      </c>
      <c r="H156" s="40">
        <v>68692.5</v>
      </c>
      <c r="I156" s="48">
        <v>397605.9</v>
      </c>
      <c r="J156" s="48">
        <v>0</v>
      </c>
      <c r="K156" s="48">
        <v>0</v>
      </c>
      <c r="L156" s="48">
        <v>10194.1</v>
      </c>
      <c r="M156" s="48">
        <v>84947</v>
      </c>
      <c r="N156" s="48">
        <v>30353.5</v>
      </c>
      <c r="O156" s="48">
        <v>31406.9</v>
      </c>
      <c r="P156" s="40">
        <v>3480.7</v>
      </c>
      <c r="Q156" s="48">
        <v>144527.70000000001</v>
      </c>
      <c r="R156" s="48">
        <v>11161.5</v>
      </c>
      <c r="S156" s="48">
        <v>90327.5</v>
      </c>
      <c r="T156" s="48">
        <v>1217597.1000000001</v>
      </c>
      <c r="U156" s="50">
        <v>9763564.9000000004</v>
      </c>
    </row>
    <row r="157" spans="1:21">
      <c r="A157" s="44">
        <v>10101</v>
      </c>
      <c r="B157" s="40">
        <v>2624978</v>
      </c>
      <c r="C157" s="40">
        <v>2624978</v>
      </c>
      <c r="D157" s="48">
        <v>556117.80000000005</v>
      </c>
      <c r="E157" s="48">
        <v>556117.80000000005</v>
      </c>
      <c r="F157" s="49">
        <v>0</v>
      </c>
      <c r="G157" s="48">
        <v>0</v>
      </c>
      <c r="H157" s="40">
        <v>8519</v>
      </c>
      <c r="I157" s="48">
        <v>8519</v>
      </c>
      <c r="J157" s="48">
        <v>0</v>
      </c>
      <c r="K157" s="48">
        <v>0</v>
      </c>
      <c r="L157" s="48">
        <v>1098.0999999999999</v>
      </c>
      <c r="M157" s="48">
        <v>1098.0999999999999</v>
      </c>
      <c r="N157" s="48">
        <v>0</v>
      </c>
      <c r="O157" s="48">
        <v>0</v>
      </c>
      <c r="P157" s="40">
        <v>0</v>
      </c>
      <c r="Q157" s="48">
        <v>0</v>
      </c>
      <c r="R157" s="48">
        <v>6564.2</v>
      </c>
      <c r="S157" s="48">
        <v>6564.2</v>
      </c>
      <c r="T157" s="48">
        <v>2052678.5</v>
      </c>
      <c r="U157" s="50">
        <v>2052678.5</v>
      </c>
    </row>
    <row r="158" spans="1:21">
      <c r="A158" s="44">
        <v>10102</v>
      </c>
      <c r="B158" s="40">
        <v>965247</v>
      </c>
      <c r="C158" s="40">
        <v>3590225</v>
      </c>
      <c r="D158" s="48">
        <v>769930.4</v>
      </c>
      <c r="E158" s="48">
        <v>1326048.1000000001</v>
      </c>
      <c r="F158" s="49">
        <v>0</v>
      </c>
      <c r="G158" s="48">
        <v>0</v>
      </c>
      <c r="H158" s="40">
        <v>29766.1</v>
      </c>
      <c r="I158" s="48">
        <v>38285.199999999997</v>
      </c>
      <c r="J158" s="48">
        <v>0</v>
      </c>
      <c r="K158" s="48">
        <v>0</v>
      </c>
      <c r="L158" s="48">
        <v>8389.1</v>
      </c>
      <c r="M158" s="48">
        <v>9487.2999999999993</v>
      </c>
      <c r="N158" s="48">
        <v>0</v>
      </c>
      <c r="O158" s="48">
        <v>0</v>
      </c>
      <c r="P158" s="40">
        <v>0</v>
      </c>
      <c r="Q158" s="48">
        <v>0</v>
      </c>
      <c r="R158" s="48">
        <v>18869.900000000001</v>
      </c>
      <c r="S158" s="48">
        <v>25434.1</v>
      </c>
      <c r="T158" s="48">
        <v>138291.70000000001</v>
      </c>
      <c r="U158" s="50">
        <v>2190970.2000000002</v>
      </c>
    </row>
    <row r="159" spans="1:21">
      <c r="A159" s="44">
        <v>10103</v>
      </c>
      <c r="B159" s="40">
        <v>901250</v>
      </c>
      <c r="C159" s="40">
        <v>4491475</v>
      </c>
      <c r="D159" s="48">
        <v>286027.7</v>
      </c>
      <c r="E159" s="48">
        <v>1612075.8</v>
      </c>
      <c r="F159" s="49">
        <v>0</v>
      </c>
      <c r="G159" s="48">
        <v>0</v>
      </c>
      <c r="H159" s="40">
        <v>37266.300000000003</v>
      </c>
      <c r="I159" s="48">
        <v>75551.399999999994</v>
      </c>
      <c r="J159" s="48">
        <v>0</v>
      </c>
      <c r="K159" s="48">
        <v>0</v>
      </c>
      <c r="L159" s="48">
        <v>3269</v>
      </c>
      <c r="M159" s="48">
        <v>12756.2</v>
      </c>
      <c r="N159" s="48">
        <v>340</v>
      </c>
      <c r="O159" s="48">
        <v>340</v>
      </c>
      <c r="P159" s="40">
        <v>5247.1</v>
      </c>
      <c r="Q159" s="48">
        <v>5247.1</v>
      </c>
      <c r="R159" s="48">
        <v>3592.5</v>
      </c>
      <c r="S159" s="48">
        <v>29026.6</v>
      </c>
      <c r="T159" s="48">
        <v>565507.69999999995</v>
      </c>
      <c r="U159" s="50">
        <v>2756478</v>
      </c>
    </row>
    <row r="160" spans="1:21">
      <c r="A160" s="44">
        <v>10104</v>
      </c>
      <c r="B160" s="40">
        <v>1265187</v>
      </c>
      <c r="C160" s="40">
        <v>5756662</v>
      </c>
      <c r="D160" s="48">
        <v>526777.80000000005</v>
      </c>
      <c r="E160" s="48">
        <v>2138853.7000000002</v>
      </c>
      <c r="F160" s="49">
        <v>0</v>
      </c>
      <c r="G160" s="48">
        <v>0</v>
      </c>
      <c r="H160" s="40">
        <v>33465.4</v>
      </c>
      <c r="I160" s="48">
        <v>109016.8</v>
      </c>
      <c r="J160" s="48">
        <v>0</v>
      </c>
      <c r="K160" s="48">
        <v>0</v>
      </c>
      <c r="L160" s="48">
        <v>1659.3</v>
      </c>
      <c r="M160" s="48">
        <v>14415.5</v>
      </c>
      <c r="N160" s="48">
        <v>224</v>
      </c>
      <c r="O160" s="48">
        <v>564</v>
      </c>
      <c r="P160" s="40">
        <v>46197.4</v>
      </c>
      <c r="Q160" s="48">
        <v>51444.5</v>
      </c>
      <c r="R160" s="48">
        <v>20492.2</v>
      </c>
      <c r="S160" s="48">
        <v>49518.8</v>
      </c>
      <c r="T160" s="48">
        <v>636371.1</v>
      </c>
      <c r="U160" s="50">
        <v>3392849.1</v>
      </c>
    </row>
    <row r="161" spans="1:21">
      <c r="A161" s="44">
        <v>10105</v>
      </c>
      <c r="B161" s="40">
        <v>1421251</v>
      </c>
      <c r="C161" s="40">
        <v>7177913</v>
      </c>
      <c r="D161" s="48">
        <v>769862.3</v>
      </c>
      <c r="E161" s="48">
        <v>2908715.9</v>
      </c>
      <c r="F161" s="49">
        <v>0</v>
      </c>
      <c r="G161" s="48">
        <v>0</v>
      </c>
      <c r="H161" s="40">
        <v>38418.800000000003</v>
      </c>
      <c r="I161" s="48">
        <v>147435.6</v>
      </c>
      <c r="J161" s="48">
        <v>0</v>
      </c>
      <c r="K161" s="48">
        <v>0</v>
      </c>
      <c r="L161" s="48">
        <v>4607</v>
      </c>
      <c r="M161" s="48">
        <v>19022.5</v>
      </c>
      <c r="N161" s="48">
        <v>655.20000000000005</v>
      </c>
      <c r="O161" s="48">
        <v>1219.2</v>
      </c>
      <c r="P161" s="40">
        <v>10333.299999999999</v>
      </c>
      <c r="Q161" s="48">
        <v>61777.8</v>
      </c>
      <c r="R161" s="48">
        <v>4870.3</v>
      </c>
      <c r="S161" s="48">
        <v>54389.1</v>
      </c>
      <c r="T161" s="48">
        <v>592504.19999999995</v>
      </c>
      <c r="U161" s="50">
        <v>3985353.2</v>
      </c>
    </row>
    <row r="162" spans="1:21">
      <c r="A162" s="44">
        <v>10106</v>
      </c>
      <c r="B162" s="40">
        <v>1540017.5</v>
      </c>
      <c r="C162" s="40">
        <v>8717930.9000000004</v>
      </c>
      <c r="D162" s="48">
        <v>420504.2</v>
      </c>
      <c r="E162" s="48">
        <v>3329220.1</v>
      </c>
      <c r="F162" s="49">
        <v>0</v>
      </c>
      <c r="G162" s="48">
        <v>0</v>
      </c>
      <c r="H162" s="40">
        <v>38758.6</v>
      </c>
      <c r="I162" s="48">
        <v>186194.2</v>
      </c>
      <c r="J162" s="48">
        <v>0</v>
      </c>
      <c r="K162" s="48">
        <v>0</v>
      </c>
      <c r="L162" s="48">
        <v>3589</v>
      </c>
      <c r="M162" s="48">
        <v>22611.599999999999</v>
      </c>
      <c r="N162" s="48">
        <v>80</v>
      </c>
      <c r="O162" s="48">
        <v>1299.2</v>
      </c>
      <c r="P162" s="40">
        <v>100.2</v>
      </c>
      <c r="Q162" s="48">
        <v>61878</v>
      </c>
      <c r="R162" s="48">
        <v>3756.3</v>
      </c>
      <c r="S162" s="48">
        <v>58145.4</v>
      </c>
      <c r="T162" s="48">
        <v>1073229</v>
      </c>
      <c r="U162" s="50">
        <v>5058582.2</v>
      </c>
    </row>
    <row r="163" spans="1:21">
      <c r="A163" s="44">
        <v>10107</v>
      </c>
      <c r="B163" s="40">
        <v>1180534.6000000001</v>
      </c>
      <c r="C163" s="40">
        <v>9898465.5999999996</v>
      </c>
      <c r="D163" s="48">
        <v>376621.5</v>
      </c>
      <c r="E163" s="48">
        <v>3705841.6</v>
      </c>
      <c r="F163" s="49">
        <v>0</v>
      </c>
      <c r="G163" s="48">
        <v>0</v>
      </c>
      <c r="H163" s="40">
        <v>47879.1</v>
      </c>
      <c r="I163" s="48">
        <v>234073.3</v>
      </c>
      <c r="J163" s="48">
        <v>0</v>
      </c>
      <c r="K163" s="48">
        <v>0</v>
      </c>
      <c r="L163" s="48">
        <v>8117.8</v>
      </c>
      <c r="M163" s="48">
        <v>30729.4</v>
      </c>
      <c r="N163" s="48">
        <v>45870.400000000001</v>
      </c>
      <c r="O163" s="48">
        <v>47169.599999999999</v>
      </c>
      <c r="P163" s="40">
        <v>1027</v>
      </c>
      <c r="Q163" s="48">
        <v>60850.9</v>
      </c>
      <c r="R163" s="48">
        <v>4599</v>
      </c>
      <c r="S163" s="48">
        <v>62744.5</v>
      </c>
      <c r="T163" s="48">
        <v>698473.6</v>
      </c>
      <c r="U163" s="50">
        <v>5757055.9000000004</v>
      </c>
    </row>
    <row r="164" spans="1:21">
      <c r="A164" s="44">
        <v>10108</v>
      </c>
      <c r="B164" s="40">
        <v>1147216.6000000001</v>
      </c>
      <c r="C164" s="40">
        <v>11045682.199999999</v>
      </c>
      <c r="D164" s="48">
        <v>337656.5</v>
      </c>
      <c r="E164" s="48">
        <v>4043498.1</v>
      </c>
      <c r="F164" s="49">
        <v>0</v>
      </c>
      <c r="G164" s="48">
        <v>0</v>
      </c>
      <c r="H164" s="40">
        <v>33595.4</v>
      </c>
      <c r="I164" s="48">
        <v>267668.8</v>
      </c>
      <c r="J164" s="48">
        <v>0</v>
      </c>
      <c r="K164" s="48">
        <v>0</v>
      </c>
      <c r="L164" s="48">
        <v>4202.3999999999996</v>
      </c>
      <c r="M164" s="48">
        <v>34931.800000000003</v>
      </c>
      <c r="N164" s="48">
        <v>0</v>
      </c>
      <c r="O164" s="48">
        <v>47169.599999999999</v>
      </c>
      <c r="P164" s="40">
        <v>-2119.3000000000002</v>
      </c>
      <c r="Q164" s="48">
        <v>58731.5</v>
      </c>
      <c r="R164" s="48">
        <v>1213.5</v>
      </c>
      <c r="S164" s="48">
        <v>63958.1</v>
      </c>
      <c r="T164" s="48">
        <v>772667.9</v>
      </c>
      <c r="U164" s="50">
        <v>6529723.7999999998</v>
      </c>
    </row>
    <row r="165" spans="1:21">
      <c r="A165" s="44">
        <v>10109</v>
      </c>
      <c r="B165" s="40">
        <v>930610.6</v>
      </c>
      <c r="C165" s="40">
        <v>11976292.800000001</v>
      </c>
      <c r="D165" s="48">
        <v>295689.90000000002</v>
      </c>
      <c r="E165" s="48">
        <v>4339188.0999999996</v>
      </c>
      <c r="F165" s="49">
        <v>0</v>
      </c>
      <c r="G165" s="48">
        <v>0</v>
      </c>
      <c r="H165" s="40">
        <v>28055.9</v>
      </c>
      <c r="I165" s="48">
        <v>295724.79999999999</v>
      </c>
      <c r="J165" s="48">
        <v>0</v>
      </c>
      <c r="K165" s="48">
        <v>0</v>
      </c>
      <c r="L165" s="48">
        <v>6821.4</v>
      </c>
      <c r="M165" s="48">
        <v>41753.300000000003</v>
      </c>
      <c r="N165" s="48">
        <v>0</v>
      </c>
      <c r="O165" s="48">
        <v>47169.7</v>
      </c>
      <c r="P165" s="40">
        <v>21.1</v>
      </c>
      <c r="Q165" s="48">
        <v>58752.7</v>
      </c>
      <c r="R165" s="48">
        <v>763.1</v>
      </c>
      <c r="S165" s="48">
        <v>64721.3</v>
      </c>
      <c r="T165" s="48">
        <v>599259.19999999995</v>
      </c>
      <c r="U165" s="50">
        <v>7128983.0999999996</v>
      </c>
    </row>
    <row r="166" spans="1:21">
      <c r="A166" s="44">
        <v>10110</v>
      </c>
      <c r="B166" s="40">
        <v>875336</v>
      </c>
      <c r="C166" s="40">
        <v>12851629</v>
      </c>
      <c r="D166" s="48">
        <v>61454</v>
      </c>
      <c r="E166" s="48">
        <v>4400642</v>
      </c>
      <c r="F166" s="49">
        <v>0</v>
      </c>
      <c r="G166" s="48">
        <v>0</v>
      </c>
      <c r="H166" s="40">
        <v>33676</v>
      </c>
      <c r="I166" s="48">
        <v>329401</v>
      </c>
      <c r="J166" s="48">
        <v>0</v>
      </c>
      <c r="K166" s="48">
        <v>0</v>
      </c>
      <c r="L166" s="48">
        <v>37771</v>
      </c>
      <c r="M166" s="48">
        <v>79525</v>
      </c>
      <c r="N166" s="48">
        <v>80</v>
      </c>
      <c r="O166" s="48">
        <f>O165+N166</f>
        <v>47249.7</v>
      </c>
      <c r="P166" s="40">
        <v>63764</v>
      </c>
      <c r="Q166" s="48">
        <v>122517</v>
      </c>
      <c r="R166" s="48">
        <v>-8</v>
      </c>
      <c r="S166" s="48">
        <f>S165+R166</f>
        <v>64713.3</v>
      </c>
      <c r="T166" s="48">
        <v>678599</v>
      </c>
      <c r="U166" s="50">
        <v>7807582</v>
      </c>
    </row>
    <row r="167" spans="1:21">
      <c r="A167" s="44">
        <v>10111</v>
      </c>
      <c r="B167" s="40">
        <v>1505680</v>
      </c>
      <c r="C167" s="40">
        <f>C166+B167</f>
        <v>14357309</v>
      </c>
      <c r="D167" s="48">
        <v>401557</v>
      </c>
      <c r="E167" s="48">
        <f>E166+D167</f>
        <v>4802199</v>
      </c>
      <c r="F167" s="49">
        <v>1483</v>
      </c>
      <c r="G167" s="48">
        <v>1483</v>
      </c>
      <c r="H167" s="40">
        <v>33168</v>
      </c>
      <c r="I167" s="48">
        <f>I166+H167</f>
        <v>362569</v>
      </c>
      <c r="J167" s="48">
        <v>0</v>
      </c>
      <c r="K167" s="48">
        <v>0</v>
      </c>
      <c r="L167" s="48">
        <v>365881</v>
      </c>
      <c r="M167" s="48">
        <f>M166+L167</f>
        <v>445406</v>
      </c>
      <c r="N167" s="48">
        <v>2337</v>
      </c>
      <c r="O167" s="48">
        <v>49586</v>
      </c>
      <c r="P167" s="40">
        <v>2597</v>
      </c>
      <c r="Q167" s="48">
        <f>Q166+P167</f>
        <v>125114</v>
      </c>
      <c r="R167" s="48">
        <v>1871</v>
      </c>
      <c r="S167" s="48">
        <v>66585</v>
      </c>
      <c r="T167" s="48">
        <v>696786</v>
      </c>
      <c r="U167" s="50">
        <f>U166+T167</f>
        <v>8504368</v>
      </c>
    </row>
    <row r="168" spans="1:21">
      <c r="A168" s="44">
        <v>10112</v>
      </c>
      <c r="B168" s="40">
        <v>2337086</v>
      </c>
      <c r="C168" s="40">
        <f>C167+B168</f>
        <v>16694395</v>
      </c>
      <c r="D168" s="48">
        <v>443376</v>
      </c>
      <c r="E168" s="48">
        <v>5245574</v>
      </c>
      <c r="F168" s="49">
        <v>49</v>
      </c>
      <c r="G168" s="48">
        <v>1532</v>
      </c>
      <c r="H168" s="40">
        <v>38035</v>
      </c>
      <c r="I168" s="48">
        <v>400605</v>
      </c>
      <c r="J168" s="48">
        <v>0</v>
      </c>
      <c r="K168" s="48">
        <v>0</v>
      </c>
      <c r="L168" s="48">
        <v>777297</v>
      </c>
      <c r="M168" s="48">
        <f>M167+L168</f>
        <v>1222703</v>
      </c>
      <c r="N168" s="48">
        <v>26117</v>
      </c>
      <c r="O168" s="48">
        <v>75703</v>
      </c>
      <c r="P168" s="40">
        <v>6596</v>
      </c>
      <c r="Q168" s="48">
        <f>Q167+P168</f>
        <v>131710</v>
      </c>
      <c r="R168" s="48">
        <v>18025</v>
      </c>
      <c r="S168" s="48">
        <v>84610</v>
      </c>
      <c r="T168" s="48">
        <v>1027590</v>
      </c>
      <c r="U168" s="50">
        <f>U167+T168</f>
        <v>9531958</v>
      </c>
    </row>
    <row r="169" spans="1:21">
      <c r="A169" s="44">
        <v>10201</v>
      </c>
      <c r="B169" s="40">
        <v>2860409.6</v>
      </c>
      <c r="C169" s="40">
        <f>B169</f>
        <v>2860409.6</v>
      </c>
      <c r="D169" s="48">
        <v>400289.4</v>
      </c>
      <c r="E169" s="48">
        <f>D169</f>
        <v>400289.4</v>
      </c>
      <c r="F169" s="49">
        <v>0</v>
      </c>
      <c r="G169" s="48">
        <f t="shared" ref="G169:G182" si="15">F169</f>
        <v>0</v>
      </c>
      <c r="H169" s="40">
        <v>25108.3</v>
      </c>
      <c r="I169" s="48">
        <f>H169</f>
        <v>25108.3</v>
      </c>
      <c r="J169" s="48">
        <v>0</v>
      </c>
      <c r="K169" s="48">
        <v>0</v>
      </c>
      <c r="L169" s="48">
        <v>10162.799999999999</v>
      </c>
      <c r="M169" s="48">
        <f>L169</f>
        <v>10162.799999999999</v>
      </c>
      <c r="N169" s="48">
        <v>0</v>
      </c>
      <c r="O169" s="48">
        <v>0</v>
      </c>
      <c r="P169" s="40">
        <v>480.9</v>
      </c>
      <c r="Q169" s="48">
        <f>P169</f>
        <v>480.9</v>
      </c>
      <c r="R169" s="48">
        <v>15906.1</v>
      </c>
      <c r="S169" s="48">
        <f>R169</f>
        <v>15906.1</v>
      </c>
      <c r="T169" s="48">
        <v>2408462.2999999998</v>
      </c>
      <c r="U169" s="50">
        <f>T169</f>
        <v>2408462.2999999998</v>
      </c>
    </row>
    <row r="170" spans="1:21">
      <c r="A170" s="44">
        <v>10202</v>
      </c>
      <c r="B170" s="40">
        <v>614521.80000000005</v>
      </c>
      <c r="C170" s="40">
        <f>B170+C169</f>
        <v>3474931.4000000004</v>
      </c>
      <c r="D170" s="48">
        <v>287997.59999999998</v>
      </c>
      <c r="E170" s="48">
        <f>D170+E169</f>
        <v>688287</v>
      </c>
      <c r="F170" s="49">
        <v>0</v>
      </c>
      <c r="G170" s="48">
        <f t="shared" si="15"/>
        <v>0</v>
      </c>
      <c r="H170" s="40">
        <v>26356.9</v>
      </c>
      <c r="I170" s="48">
        <f t="shared" ref="I170:I175" si="16">H170+I169</f>
        <v>51465.2</v>
      </c>
      <c r="J170" s="48">
        <v>0</v>
      </c>
      <c r="K170" s="48">
        <v>0</v>
      </c>
      <c r="L170" s="48">
        <v>10321.1</v>
      </c>
      <c r="M170" s="48">
        <f t="shared" ref="M170:M175" si="17">M169+L170</f>
        <v>20483.900000000001</v>
      </c>
      <c r="N170" s="48">
        <v>84.9</v>
      </c>
      <c r="O170" s="48">
        <f t="shared" ref="O170:O175" si="18">N170+O169</f>
        <v>84.9</v>
      </c>
      <c r="P170" s="40">
        <v>1933.8</v>
      </c>
      <c r="Q170" s="48">
        <f>P170+Q169</f>
        <v>2414.6999999999998</v>
      </c>
      <c r="R170" s="48">
        <v>947.5</v>
      </c>
      <c r="S170" s="48">
        <f>R170+S169</f>
        <v>16853.599999999999</v>
      </c>
      <c r="T170" s="48">
        <v>286879.8</v>
      </c>
      <c r="U170" s="50">
        <f t="shared" ref="U170:U175" si="19">T170+U169</f>
        <v>2695342.0999999996</v>
      </c>
    </row>
    <row r="171" spans="1:21">
      <c r="A171" s="44">
        <v>10203</v>
      </c>
      <c r="B171" s="40">
        <v>887390</v>
      </c>
      <c r="C171" s="40">
        <f>B171+C170</f>
        <v>4362321.4000000004</v>
      </c>
      <c r="D171" s="48">
        <v>359041</v>
      </c>
      <c r="E171" s="48">
        <f>D171+E170</f>
        <v>1047328</v>
      </c>
      <c r="F171" s="49">
        <v>0</v>
      </c>
      <c r="G171" s="48">
        <f t="shared" si="15"/>
        <v>0</v>
      </c>
      <c r="H171" s="40">
        <v>26278</v>
      </c>
      <c r="I171" s="48">
        <f t="shared" si="16"/>
        <v>77743.199999999997</v>
      </c>
      <c r="J171" s="48">
        <v>0</v>
      </c>
      <c r="K171" s="48">
        <v>0</v>
      </c>
      <c r="L171" s="48">
        <v>48205</v>
      </c>
      <c r="M171" s="48">
        <f t="shared" si="17"/>
        <v>68688.899999999994</v>
      </c>
      <c r="N171" s="48">
        <v>0</v>
      </c>
      <c r="O171" s="48">
        <f t="shared" si="18"/>
        <v>84.9</v>
      </c>
      <c r="P171" s="40">
        <v>1404</v>
      </c>
      <c r="Q171" s="48">
        <f>P171+Q170</f>
        <v>3818.7</v>
      </c>
      <c r="R171" s="48">
        <v>18336</v>
      </c>
      <c r="S171" s="48">
        <f>R171+S170</f>
        <v>35189.599999999999</v>
      </c>
      <c r="T171" s="48">
        <v>434126</v>
      </c>
      <c r="U171" s="50">
        <f t="shared" si="19"/>
        <v>3129468.0999999996</v>
      </c>
    </row>
    <row r="172" spans="1:21">
      <c r="A172" s="44">
        <v>10204</v>
      </c>
      <c r="B172" s="40">
        <v>1806485</v>
      </c>
      <c r="C172" s="40">
        <f>B172+C171</f>
        <v>6168806.4000000004</v>
      </c>
      <c r="D172" s="48">
        <v>546660</v>
      </c>
      <c r="E172" s="48">
        <f>D172+E171</f>
        <v>1593988</v>
      </c>
      <c r="F172" s="49">
        <v>0</v>
      </c>
      <c r="G172" s="48">
        <f t="shared" si="15"/>
        <v>0</v>
      </c>
      <c r="H172" s="40">
        <v>275833</v>
      </c>
      <c r="I172" s="48">
        <f t="shared" si="16"/>
        <v>353576.2</v>
      </c>
      <c r="J172" s="48">
        <v>0</v>
      </c>
      <c r="K172" s="48">
        <v>0</v>
      </c>
      <c r="L172" s="48">
        <v>332065</v>
      </c>
      <c r="M172" s="48">
        <f t="shared" si="17"/>
        <v>400753.9</v>
      </c>
      <c r="N172" s="48">
        <v>100</v>
      </c>
      <c r="O172" s="48">
        <f t="shared" si="18"/>
        <v>184.9</v>
      </c>
      <c r="P172" s="40">
        <v>69230</v>
      </c>
      <c r="Q172" s="48">
        <f>P172+Q171</f>
        <v>73048.7</v>
      </c>
      <c r="R172" s="48">
        <v>1294</v>
      </c>
      <c r="S172" s="48">
        <f>R172+S171</f>
        <v>36483.599999999999</v>
      </c>
      <c r="T172" s="48">
        <v>581304</v>
      </c>
      <c r="U172" s="50">
        <f t="shared" si="19"/>
        <v>3710772.0999999996</v>
      </c>
    </row>
    <row r="173" spans="1:21">
      <c r="A173" s="44">
        <v>10205</v>
      </c>
      <c r="B173" s="40">
        <v>2336040</v>
      </c>
      <c r="C173" s="40">
        <f>B173+C172</f>
        <v>8504846.4000000004</v>
      </c>
      <c r="D173" s="48">
        <v>899918</v>
      </c>
      <c r="E173" s="48">
        <f>D173+E172</f>
        <v>2493906</v>
      </c>
      <c r="F173" s="49">
        <v>0</v>
      </c>
      <c r="G173" s="48">
        <f t="shared" si="15"/>
        <v>0</v>
      </c>
      <c r="H173" s="40">
        <v>43940</v>
      </c>
      <c r="I173" s="48">
        <f t="shared" si="16"/>
        <v>397516.2</v>
      </c>
      <c r="J173" s="48">
        <v>0</v>
      </c>
      <c r="K173" s="48">
        <v>0</v>
      </c>
      <c r="L173" s="48">
        <v>764326</v>
      </c>
      <c r="M173" s="48">
        <f t="shared" si="17"/>
        <v>1165079.8999999999</v>
      </c>
      <c r="N173" s="48">
        <v>533</v>
      </c>
      <c r="O173" s="48">
        <f t="shared" si="18"/>
        <v>717.9</v>
      </c>
      <c r="P173" s="40">
        <v>1243</v>
      </c>
      <c r="Q173" s="48">
        <f>P173+Q172</f>
        <v>74291.7</v>
      </c>
      <c r="R173" s="48">
        <v>4840</v>
      </c>
      <c r="S173" s="48">
        <f>41323</f>
        <v>41323</v>
      </c>
      <c r="T173" s="48">
        <v>621241</v>
      </c>
      <c r="U173" s="50">
        <f t="shared" si="19"/>
        <v>4332013.0999999996</v>
      </c>
    </row>
    <row r="174" spans="1:21">
      <c r="A174" s="44">
        <v>10206</v>
      </c>
      <c r="B174" s="40">
        <v>1616183</v>
      </c>
      <c r="C174" s="40">
        <v>10120939</v>
      </c>
      <c r="D174" s="48">
        <v>466529</v>
      </c>
      <c r="E174" s="48">
        <v>2960344</v>
      </c>
      <c r="F174" s="49">
        <v>0</v>
      </c>
      <c r="G174" s="48">
        <f t="shared" si="15"/>
        <v>0</v>
      </c>
      <c r="H174" s="40">
        <v>46527</v>
      </c>
      <c r="I174" s="48">
        <f t="shared" si="16"/>
        <v>444043.2</v>
      </c>
      <c r="J174" s="48">
        <v>0</v>
      </c>
      <c r="K174" s="48">
        <v>0</v>
      </c>
      <c r="L174" s="48">
        <v>642</v>
      </c>
      <c r="M174" s="48">
        <f t="shared" si="17"/>
        <v>1165721.8999999999</v>
      </c>
      <c r="N174" s="48">
        <v>209</v>
      </c>
      <c r="O174" s="48">
        <f t="shared" si="18"/>
        <v>926.9</v>
      </c>
      <c r="P174" s="40">
        <v>1988</v>
      </c>
      <c r="Q174" s="48">
        <f>P174+Q173</f>
        <v>76279.7</v>
      </c>
      <c r="R174" s="48">
        <v>3038</v>
      </c>
      <c r="S174" s="48">
        <f>R174+S173</f>
        <v>44361</v>
      </c>
      <c r="T174" s="48">
        <v>1097250</v>
      </c>
      <c r="U174" s="50">
        <f t="shared" si="19"/>
        <v>5429263.0999999996</v>
      </c>
    </row>
    <row r="175" spans="1:21">
      <c r="A175" s="44">
        <v>10207</v>
      </c>
      <c r="B175" s="40">
        <v>1520245</v>
      </c>
      <c r="C175" s="40">
        <v>11173275</v>
      </c>
      <c r="D175" s="48">
        <v>420247</v>
      </c>
      <c r="E175" s="48">
        <v>3380682</v>
      </c>
      <c r="F175" s="49">
        <v>0</v>
      </c>
      <c r="G175" s="48">
        <f t="shared" si="15"/>
        <v>0</v>
      </c>
      <c r="H175" s="40">
        <v>-200855</v>
      </c>
      <c r="I175" s="48">
        <f t="shared" si="16"/>
        <v>243188.2</v>
      </c>
      <c r="J175" s="48">
        <v>0</v>
      </c>
      <c r="K175" s="48">
        <v>0</v>
      </c>
      <c r="L175" s="48">
        <v>12678</v>
      </c>
      <c r="M175" s="48">
        <f t="shared" si="17"/>
        <v>1178399.8999999999</v>
      </c>
      <c r="N175" s="48">
        <v>188</v>
      </c>
      <c r="O175" s="48">
        <f t="shared" si="18"/>
        <v>1114.9000000000001</v>
      </c>
      <c r="P175" s="40">
        <v>6670</v>
      </c>
      <c r="Q175" s="48">
        <v>82949</v>
      </c>
      <c r="R175" s="48">
        <v>3910</v>
      </c>
      <c r="S175" s="48">
        <f>R175+S174</f>
        <v>48271</v>
      </c>
      <c r="T175" s="48">
        <v>809406</v>
      </c>
      <c r="U175" s="50">
        <f t="shared" si="19"/>
        <v>6238669.0999999996</v>
      </c>
    </row>
    <row r="176" spans="1:21">
      <c r="A176" s="44">
        <v>10208</v>
      </c>
      <c r="B176" s="40">
        <v>1024030</v>
      </c>
      <c r="C176" s="40">
        <v>12197306</v>
      </c>
      <c r="D176" s="48">
        <v>375290</v>
      </c>
      <c r="E176" s="48">
        <v>3755972</v>
      </c>
      <c r="F176" s="49">
        <v>0</v>
      </c>
      <c r="G176" s="48">
        <f t="shared" si="15"/>
        <v>0</v>
      </c>
      <c r="H176" s="40">
        <v>28770</v>
      </c>
      <c r="I176" s="48">
        <v>271958</v>
      </c>
      <c r="J176" s="48">
        <v>0</v>
      </c>
      <c r="K176" s="48">
        <v>0</v>
      </c>
      <c r="L176" s="48">
        <v>16295</v>
      </c>
      <c r="M176" s="48">
        <v>1194696</v>
      </c>
      <c r="N176" s="48">
        <v>15000</v>
      </c>
      <c r="O176" s="48">
        <v>16115</v>
      </c>
      <c r="P176" s="40">
        <v>1538</v>
      </c>
      <c r="Q176" s="48">
        <v>84487</v>
      </c>
      <c r="R176" s="48">
        <v>28112</v>
      </c>
      <c r="S176" s="48">
        <v>76383</v>
      </c>
      <c r="T176" s="48">
        <v>559025</v>
      </c>
      <c r="U176" s="50">
        <v>6797694</v>
      </c>
    </row>
    <row r="177" spans="1:21">
      <c r="A177" s="44">
        <v>10209</v>
      </c>
      <c r="B177" s="40">
        <v>933281</v>
      </c>
      <c r="C177" s="40">
        <v>13130586.699999999</v>
      </c>
      <c r="D177" s="48">
        <v>359149.3</v>
      </c>
      <c r="E177" s="48">
        <v>4115121.7</v>
      </c>
      <c r="F177" s="49">
        <v>0</v>
      </c>
      <c r="G177" s="48">
        <f t="shared" si="15"/>
        <v>0</v>
      </c>
      <c r="H177" s="40">
        <v>35178.400000000001</v>
      </c>
      <c r="I177" s="48">
        <v>307136</v>
      </c>
      <c r="J177" s="48">
        <v>0</v>
      </c>
      <c r="K177" s="48">
        <v>0</v>
      </c>
      <c r="L177" s="48">
        <v>3348.1</v>
      </c>
      <c r="M177" s="48">
        <v>1198043.8999999999</v>
      </c>
      <c r="N177" s="48">
        <v>0</v>
      </c>
      <c r="O177" s="48">
        <v>16115.4</v>
      </c>
      <c r="P177" s="40">
        <v>1269.0999999999999</v>
      </c>
      <c r="Q177" s="48">
        <v>85756.1</v>
      </c>
      <c r="R177" s="48">
        <v>3353.9</v>
      </c>
      <c r="S177" s="48">
        <v>79737.2</v>
      </c>
      <c r="T177" s="48">
        <v>530982.30000000005</v>
      </c>
      <c r="U177" s="50">
        <v>7328676.2999999998</v>
      </c>
    </row>
    <row r="178" spans="1:21">
      <c r="A178" s="44">
        <v>10210</v>
      </c>
      <c r="B178" s="40">
        <v>1249448.6000000001</v>
      </c>
      <c r="C178" s="40">
        <v>14380035.199999999</v>
      </c>
      <c r="D178" s="48">
        <v>353890.7</v>
      </c>
      <c r="E178" s="48">
        <v>4469012.4000000004</v>
      </c>
      <c r="F178" s="49">
        <v>0</v>
      </c>
      <c r="G178" s="48">
        <f t="shared" si="15"/>
        <v>0</v>
      </c>
      <c r="H178" s="40">
        <v>37063.199999999997</v>
      </c>
      <c r="I178" s="48">
        <f>H178+I177</f>
        <v>344199.2</v>
      </c>
      <c r="J178" s="48">
        <v>0</v>
      </c>
      <c r="K178" s="48">
        <v>0</v>
      </c>
      <c r="L178" s="48">
        <v>4286.8999999999996</v>
      </c>
      <c r="M178" s="48">
        <f>M177+L178</f>
        <v>1202330.7999999998</v>
      </c>
      <c r="N178" s="48">
        <v>68.599999999999994</v>
      </c>
      <c r="O178" s="48">
        <f>N178+O177</f>
        <v>16184</v>
      </c>
      <c r="P178" s="40">
        <v>59919.4</v>
      </c>
      <c r="Q178" s="48">
        <f>P178+Q177</f>
        <v>145675.5</v>
      </c>
      <c r="R178" s="48">
        <v>18894.7</v>
      </c>
      <c r="S178" s="48">
        <f>R178+S177</f>
        <v>98631.9</v>
      </c>
      <c r="T178" s="48">
        <v>775325.1</v>
      </c>
      <c r="U178" s="50">
        <f>T178+U177</f>
        <v>8104001.3999999994</v>
      </c>
    </row>
    <row r="179" spans="1:21">
      <c r="A179" s="44">
        <v>10211</v>
      </c>
      <c r="B179" s="40">
        <v>1261103.8</v>
      </c>
      <c r="C179" s="40">
        <v>15641139</v>
      </c>
      <c r="D179" s="48">
        <v>451646.6</v>
      </c>
      <c r="E179" s="48">
        <v>4920659</v>
      </c>
      <c r="F179" s="49">
        <v>0</v>
      </c>
      <c r="G179" s="48">
        <f t="shared" si="15"/>
        <v>0</v>
      </c>
      <c r="H179" s="40">
        <v>30508.3</v>
      </c>
      <c r="I179" s="48">
        <f>H179+I178</f>
        <v>374707.5</v>
      </c>
      <c r="J179" s="48">
        <v>0</v>
      </c>
      <c r="K179" s="48">
        <v>0</v>
      </c>
      <c r="L179" s="48">
        <v>2686.6</v>
      </c>
      <c r="M179" s="48">
        <f>M178+L179</f>
        <v>1205017.3999999999</v>
      </c>
      <c r="N179" s="48">
        <v>0</v>
      </c>
      <c r="O179" s="48">
        <f>N179+O178</f>
        <v>16184</v>
      </c>
      <c r="P179" s="40">
        <v>42161.2</v>
      </c>
      <c r="Q179" s="48">
        <f>P179+Q178</f>
        <v>187836.7</v>
      </c>
      <c r="R179" s="48">
        <v>58.3</v>
      </c>
      <c r="S179" s="48">
        <f>R179+S178</f>
        <v>98690.2</v>
      </c>
      <c r="T179" s="48">
        <v>734042.8</v>
      </c>
      <c r="U179" s="50">
        <f>T179+U178</f>
        <v>8838044.1999999993</v>
      </c>
    </row>
    <row r="180" spans="1:21">
      <c r="A180" s="44">
        <v>10212</v>
      </c>
      <c r="B180" s="40">
        <v>1611289.3</v>
      </c>
      <c r="C180" s="40">
        <v>17252428.300000001</v>
      </c>
      <c r="D180" s="48">
        <v>482566.7</v>
      </c>
      <c r="E180" s="48">
        <v>5403225.7999999998</v>
      </c>
      <c r="F180" s="49">
        <v>0</v>
      </c>
      <c r="G180" s="48">
        <f t="shared" si="15"/>
        <v>0</v>
      </c>
      <c r="H180" s="40">
        <v>48446.2</v>
      </c>
      <c r="I180" s="48">
        <f>H180+I179</f>
        <v>423153.7</v>
      </c>
      <c r="J180" s="48">
        <v>0</v>
      </c>
      <c r="K180" s="48">
        <v>0</v>
      </c>
      <c r="L180" s="48">
        <v>9530.5</v>
      </c>
      <c r="M180" s="48">
        <v>1214547.8999999999</v>
      </c>
      <c r="N180" s="48">
        <v>38055</v>
      </c>
      <c r="O180" s="48">
        <f>N180+O179</f>
        <v>54239</v>
      </c>
      <c r="P180" s="40">
        <v>1312.3</v>
      </c>
      <c r="Q180" s="48">
        <f>P180+Q179</f>
        <v>189149</v>
      </c>
      <c r="R180" s="48">
        <v>9234.1</v>
      </c>
      <c r="S180" s="48">
        <f>R180+S179</f>
        <v>107924.3</v>
      </c>
      <c r="T180" s="48">
        <v>1022144.3</v>
      </c>
      <c r="U180" s="50">
        <f>T180+U179</f>
        <v>9860188.5</v>
      </c>
    </row>
    <row r="181" spans="1:21">
      <c r="A181" s="44">
        <v>10301</v>
      </c>
      <c r="B181" s="40">
        <v>2978301.6</v>
      </c>
      <c r="C181" s="40">
        <v>2978301.6</v>
      </c>
      <c r="D181" s="48">
        <v>424682.2</v>
      </c>
      <c r="E181" s="48">
        <v>424682.2</v>
      </c>
      <c r="F181" s="49">
        <v>0</v>
      </c>
      <c r="G181" s="48">
        <f t="shared" si="15"/>
        <v>0</v>
      </c>
      <c r="H181" s="40">
        <v>32889.599999999999</v>
      </c>
      <c r="I181" s="48">
        <v>32889.599999999999</v>
      </c>
      <c r="J181" s="48">
        <v>0</v>
      </c>
      <c r="K181" s="48">
        <v>0</v>
      </c>
      <c r="L181" s="48">
        <v>11407.8</v>
      </c>
      <c r="M181" s="48">
        <v>11407.8</v>
      </c>
      <c r="N181" s="48">
        <v>224</v>
      </c>
      <c r="O181" s="48">
        <v>224</v>
      </c>
      <c r="P181" s="40">
        <v>0</v>
      </c>
      <c r="Q181" s="48">
        <v>0</v>
      </c>
      <c r="R181" s="48">
        <v>29008</v>
      </c>
      <c r="S181" s="48">
        <v>29008</v>
      </c>
      <c r="T181" s="48">
        <v>2480090.1</v>
      </c>
      <c r="U181" s="50">
        <v>2480090.1</v>
      </c>
    </row>
    <row r="182" spans="1:21">
      <c r="A182" s="44">
        <v>10302</v>
      </c>
      <c r="B182" s="40">
        <v>486879</v>
      </c>
      <c r="C182" s="40">
        <v>3465180.6</v>
      </c>
      <c r="D182" s="48">
        <v>343184.4</v>
      </c>
      <c r="E182" s="48">
        <v>767866.6</v>
      </c>
      <c r="F182" s="49">
        <v>0</v>
      </c>
      <c r="G182" s="48">
        <f t="shared" si="15"/>
        <v>0</v>
      </c>
      <c r="H182" s="40">
        <v>33290.9</v>
      </c>
      <c r="I182" s="48">
        <v>66180.399999999994</v>
      </c>
      <c r="J182" s="48">
        <v>0</v>
      </c>
      <c r="K182" s="48">
        <v>0</v>
      </c>
      <c r="L182" s="48">
        <v>18415.2</v>
      </c>
      <c r="M182" s="48">
        <v>29823</v>
      </c>
      <c r="N182" s="48">
        <v>118</v>
      </c>
      <c r="O182" s="48">
        <v>342</v>
      </c>
      <c r="P182" s="40">
        <v>0</v>
      </c>
      <c r="Q182" s="48">
        <v>0</v>
      </c>
      <c r="R182" s="48">
        <v>1935.9</v>
      </c>
      <c r="S182" s="48">
        <v>30943.9</v>
      </c>
      <c r="T182" s="48">
        <v>89934.6</v>
      </c>
      <c r="U182" s="50">
        <v>2570024.7000000002</v>
      </c>
    </row>
    <row r="183" spans="1:21">
      <c r="A183" s="44">
        <v>10303</v>
      </c>
      <c r="B183" s="40">
        <v>1064794.2340000002</v>
      </c>
      <c r="C183" s="40">
        <v>4529974.7989999996</v>
      </c>
      <c r="D183" s="48">
        <v>360304.20600000001</v>
      </c>
      <c r="E183" s="48">
        <v>1128170.797</v>
      </c>
      <c r="F183" s="49">
        <v>0</v>
      </c>
      <c r="G183" s="48">
        <v>0</v>
      </c>
      <c r="H183" s="40">
        <v>33770.557999999997</v>
      </c>
      <c r="I183" s="48">
        <v>99950.997000000003</v>
      </c>
      <c r="J183" s="48">
        <v>0</v>
      </c>
      <c r="K183" s="48">
        <v>0</v>
      </c>
      <c r="L183" s="48">
        <v>16764.363000000001</v>
      </c>
      <c r="M183" s="48">
        <v>46587.360999999997</v>
      </c>
      <c r="N183" s="48">
        <v>150918</v>
      </c>
      <c r="O183" s="48">
        <v>151260</v>
      </c>
      <c r="P183" s="40">
        <v>0</v>
      </c>
      <c r="Q183" s="48">
        <v>0</v>
      </c>
      <c r="R183" s="48">
        <v>55057.735999999997</v>
      </c>
      <c r="S183" s="48">
        <v>86001.593999999997</v>
      </c>
      <c r="T183" s="48">
        <v>447979.37099999998</v>
      </c>
      <c r="U183" s="50">
        <v>3018004.05</v>
      </c>
    </row>
    <row r="184" spans="1:21">
      <c r="A184" s="44">
        <v>10304</v>
      </c>
      <c r="B184" s="40">
        <v>1486568.669</v>
      </c>
      <c r="C184" s="40">
        <v>6016543.4680000003</v>
      </c>
      <c r="D184" s="48">
        <v>836346.48699999996</v>
      </c>
      <c r="E184" s="48">
        <v>1964517.284</v>
      </c>
      <c r="F184" s="49">
        <v>0</v>
      </c>
      <c r="G184" s="48">
        <v>0</v>
      </c>
      <c r="H184" s="40">
        <v>41749.012999999999</v>
      </c>
      <c r="I184" s="48">
        <v>141700.01</v>
      </c>
      <c r="J184" s="48">
        <v>0</v>
      </c>
      <c r="K184" s="48">
        <v>0</v>
      </c>
      <c r="L184" s="48">
        <v>6846.0929999999998</v>
      </c>
      <c r="M184" s="48">
        <v>53433.453999999998</v>
      </c>
      <c r="N184" s="48">
        <v>103.5</v>
      </c>
      <c r="O184" s="48">
        <v>151363.5</v>
      </c>
      <c r="P184" s="40">
        <v>0</v>
      </c>
      <c r="Q184" s="48">
        <v>0</v>
      </c>
      <c r="R184" s="48">
        <v>1118.105</v>
      </c>
      <c r="S184" s="48">
        <v>87119.698999999993</v>
      </c>
      <c r="T184" s="48">
        <v>600405.47100000002</v>
      </c>
      <c r="U184" s="50">
        <v>3618409.5210000002</v>
      </c>
    </row>
    <row r="185" spans="1:21">
      <c r="A185" s="44">
        <v>10305</v>
      </c>
      <c r="B185" s="40">
        <v>1491374.4640000002</v>
      </c>
      <c r="C185" s="40">
        <v>7507917.932</v>
      </c>
      <c r="D185" s="48">
        <v>779236.48600000003</v>
      </c>
      <c r="E185" s="48">
        <v>2743753.77</v>
      </c>
      <c r="F185" s="40">
        <v>0</v>
      </c>
      <c r="G185" s="48">
        <v>0</v>
      </c>
      <c r="H185" s="40">
        <v>53636.752999999997</v>
      </c>
      <c r="I185" s="48">
        <v>195336.76300000001</v>
      </c>
      <c r="J185" s="48">
        <v>0</v>
      </c>
      <c r="K185" s="48">
        <v>0</v>
      </c>
      <c r="L185" s="48">
        <v>3602.6179999999999</v>
      </c>
      <c r="M185" s="48">
        <v>57036.072</v>
      </c>
      <c r="N185" s="48">
        <v>0</v>
      </c>
      <c r="O185" s="48">
        <v>151363.5</v>
      </c>
      <c r="P185" s="40">
        <v>0</v>
      </c>
      <c r="Q185" s="48">
        <v>0</v>
      </c>
      <c r="R185" s="48">
        <v>2109.3220000000001</v>
      </c>
      <c r="S185" s="48">
        <v>89229.020999999993</v>
      </c>
      <c r="T185" s="48">
        <v>652789.28500000003</v>
      </c>
      <c r="U185" s="50">
        <v>4271198.8059999999</v>
      </c>
    </row>
    <row r="186" spans="1:21">
      <c r="A186" s="44">
        <v>10306</v>
      </c>
      <c r="B186" s="40">
        <v>1599840.4240000001</v>
      </c>
      <c r="C186" s="40">
        <v>9107758.3560000006</v>
      </c>
      <c r="D186" s="48">
        <v>483344.734</v>
      </c>
      <c r="E186" s="48">
        <v>3227098.5040000002</v>
      </c>
      <c r="F186" s="40">
        <v>0</v>
      </c>
      <c r="G186" s="48">
        <v>0</v>
      </c>
      <c r="H186" s="40">
        <v>38662.682999999997</v>
      </c>
      <c r="I186" s="48">
        <v>233999.446</v>
      </c>
      <c r="J186" s="48">
        <v>0</v>
      </c>
      <c r="K186" s="48">
        <v>0</v>
      </c>
      <c r="L186" s="48">
        <v>5845.7749999999996</v>
      </c>
      <c r="M186" s="48">
        <v>62881.847000000002</v>
      </c>
      <c r="N186" s="48">
        <v>0</v>
      </c>
      <c r="O186" s="48">
        <v>151363.5</v>
      </c>
      <c r="P186" s="40">
        <v>0</v>
      </c>
      <c r="Q186" s="48">
        <v>0</v>
      </c>
      <c r="R186" s="48">
        <v>2028.1569999999999</v>
      </c>
      <c r="S186" s="48">
        <v>91257.178</v>
      </c>
      <c r="T186" s="48">
        <v>1069959.075</v>
      </c>
      <c r="U186" s="50">
        <v>5341157.8810000001</v>
      </c>
    </row>
    <row r="187" spans="1:21">
      <c r="A187" s="44">
        <v>10307</v>
      </c>
      <c r="B187" s="40">
        <v>1226735.5</v>
      </c>
      <c r="C187" s="40">
        <v>10334493.9</v>
      </c>
      <c r="D187" s="48">
        <v>364225.6</v>
      </c>
      <c r="E187" s="48">
        <v>3591324.1</v>
      </c>
      <c r="F187" s="40">
        <v>0</v>
      </c>
      <c r="G187" s="48">
        <v>0</v>
      </c>
      <c r="H187" s="40">
        <v>33544.300000000003</v>
      </c>
      <c r="I187" s="48">
        <v>267543.8</v>
      </c>
      <c r="J187" s="48">
        <v>0</v>
      </c>
      <c r="K187" s="48">
        <v>0</v>
      </c>
      <c r="L187" s="48">
        <v>11132.5</v>
      </c>
      <c r="M187" s="48">
        <v>74014.399999999994</v>
      </c>
      <c r="N187" s="48">
        <v>25087.9</v>
      </c>
      <c r="O187" s="48">
        <v>176451.4</v>
      </c>
      <c r="P187" s="40">
        <v>0</v>
      </c>
      <c r="Q187" s="48">
        <v>0</v>
      </c>
      <c r="R187" s="48">
        <v>2275.6</v>
      </c>
      <c r="S187" s="48">
        <v>93532.800000000003</v>
      </c>
      <c r="T187" s="48">
        <v>790469.5</v>
      </c>
      <c r="U187" s="50">
        <v>6131627.4000000004</v>
      </c>
    </row>
    <row r="188" spans="1:21">
      <c r="A188" s="44">
        <v>10308</v>
      </c>
      <c r="B188" s="40">
        <v>1123737.1000000001</v>
      </c>
      <c r="C188" s="40">
        <v>11458230.9</v>
      </c>
      <c r="D188" s="48">
        <v>382701.5</v>
      </c>
      <c r="E188" s="48">
        <v>3974025.7</v>
      </c>
      <c r="F188" s="40">
        <v>0</v>
      </c>
      <c r="G188" s="48">
        <v>0</v>
      </c>
      <c r="H188" s="40">
        <v>33451.800000000003</v>
      </c>
      <c r="I188" s="48">
        <v>300955.59999999998</v>
      </c>
      <c r="J188" s="48">
        <v>0</v>
      </c>
      <c r="K188" s="48">
        <v>0</v>
      </c>
      <c r="L188" s="48">
        <v>28191</v>
      </c>
      <c r="M188" s="48">
        <v>102205.4</v>
      </c>
      <c r="N188" s="48">
        <v>62.6</v>
      </c>
      <c r="O188" s="48">
        <v>176514.1</v>
      </c>
      <c r="P188" s="40">
        <v>0</v>
      </c>
      <c r="Q188" s="48">
        <v>0</v>
      </c>
      <c r="R188" s="48">
        <v>46946.3</v>
      </c>
      <c r="S188" s="48">
        <v>140479.1</v>
      </c>
      <c r="T188" s="48">
        <v>632383.80000000005</v>
      </c>
      <c r="U188" s="50">
        <v>6764011.2000000002</v>
      </c>
    </row>
    <row r="189" spans="1:21">
      <c r="A189" s="44">
        <v>10309</v>
      </c>
      <c r="B189" s="40">
        <v>889135.6</v>
      </c>
      <c r="C189" s="40">
        <v>12347366.5</v>
      </c>
      <c r="D189" s="48">
        <v>377858.3</v>
      </c>
      <c r="E189" s="48">
        <v>4351883.9000000004</v>
      </c>
      <c r="F189" s="40">
        <v>0</v>
      </c>
      <c r="G189" s="48">
        <v>0</v>
      </c>
      <c r="H189" s="40">
        <v>37205.699999999997</v>
      </c>
      <c r="I189" s="48">
        <v>338201.2</v>
      </c>
      <c r="J189" s="48">
        <v>0</v>
      </c>
      <c r="K189" s="48">
        <v>0</v>
      </c>
      <c r="L189" s="48">
        <v>6494.6</v>
      </c>
      <c r="M189" s="48">
        <v>108700</v>
      </c>
      <c r="N189" s="48">
        <v>256</v>
      </c>
      <c r="O189" s="48">
        <v>176770.1</v>
      </c>
      <c r="P189" s="40">
        <v>0</v>
      </c>
      <c r="Q189" s="48">
        <v>0</v>
      </c>
      <c r="R189" s="48">
        <v>3734</v>
      </c>
      <c r="S189" s="48">
        <v>144213.1</v>
      </c>
      <c r="T189" s="48">
        <v>463587.1</v>
      </c>
      <c r="U189" s="50">
        <v>7227598.2000000002</v>
      </c>
    </row>
    <row r="190" spans="1:21">
      <c r="A190" s="44">
        <v>10310</v>
      </c>
      <c r="B190" s="40">
        <v>1160783.2</v>
      </c>
      <c r="C190" s="40">
        <v>13508149.699999999</v>
      </c>
      <c r="D190" s="48">
        <v>483374</v>
      </c>
      <c r="E190" s="48">
        <v>4835257.9000000004</v>
      </c>
      <c r="F190" s="40">
        <v>0</v>
      </c>
      <c r="G190" s="48">
        <v>0</v>
      </c>
      <c r="H190" s="40">
        <v>32336.2</v>
      </c>
      <c r="I190" s="48">
        <v>370537.5</v>
      </c>
      <c r="J190" s="48">
        <v>0</v>
      </c>
      <c r="K190" s="48">
        <v>0</v>
      </c>
      <c r="L190" s="48">
        <v>3521</v>
      </c>
      <c r="M190" s="48">
        <v>112221</v>
      </c>
      <c r="N190" s="48">
        <v>175.7</v>
      </c>
      <c r="O190" s="48">
        <v>176945.8</v>
      </c>
      <c r="P190" s="40">
        <v>0</v>
      </c>
      <c r="Q190" s="48">
        <v>0</v>
      </c>
      <c r="R190" s="48">
        <v>617.9</v>
      </c>
      <c r="S190" s="48">
        <v>144830.9</v>
      </c>
      <c r="T190" s="48">
        <v>640758.4</v>
      </c>
      <c r="U190" s="50">
        <v>7868356.5999999996</v>
      </c>
    </row>
    <row r="191" spans="1:21">
      <c r="A191" s="44">
        <v>10311</v>
      </c>
      <c r="B191" s="40">
        <v>1017117.3</v>
      </c>
      <c r="C191" s="40">
        <v>14525267</v>
      </c>
      <c r="D191" s="48">
        <v>474862.6</v>
      </c>
      <c r="E191" s="48">
        <v>5310120.5</v>
      </c>
      <c r="F191" s="40">
        <v>0</v>
      </c>
      <c r="G191" s="48">
        <v>0</v>
      </c>
      <c r="H191" s="40">
        <v>34224.6</v>
      </c>
      <c r="I191" s="48">
        <v>404762.1</v>
      </c>
      <c r="J191" s="48">
        <v>0</v>
      </c>
      <c r="K191" s="48">
        <v>0</v>
      </c>
      <c r="L191" s="48">
        <v>3354.1</v>
      </c>
      <c r="M191" s="48">
        <v>115575.1</v>
      </c>
      <c r="N191" s="48">
        <v>589.79999999999995</v>
      </c>
      <c r="O191" s="48">
        <v>177535.6</v>
      </c>
      <c r="P191" s="40">
        <v>0</v>
      </c>
      <c r="Q191" s="48">
        <v>0</v>
      </c>
      <c r="R191" s="48">
        <v>617.29999999999995</v>
      </c>
      <c r="S191" s="48">
        <v>145448.20000000001</v>
      </c>
      <c r="T191" s="48">
        <v>503468.9</v>
      </c>
      <c r="U191" s="50">
        <v>8371825.5999999996</v>
      </c>
    </row>
    <row r="192" spans="1:21">
      <c r="A192" s="44">
        <v>10312</v>
      </c>
      <c r="B192" s="40">
        <v>1618708.7580000001</v>
      </c>
      <c r="C192" s="40">
        <v>16143975.767999999</v>
      </c>
      <c r="D192" s="48">
        <v>585412.70900000003</v>
      </c>
      <c r="E192" s="48">
        <v>5895533.2470000004</v>
      </c>
      <c r="F192" s="40">
        <v>0</v>
      </c>
      <c r="G192" s="48">
        <v>0</v>
      </c>
      <c r="H192" s="40">
        <v>41847.533000000003</v>
      </c>
      <c r="I192" s="48">
        <v>446609.62099999998</v>
      </c>
      <c r="J192" s="48">
        <v>0</v>
      </c>
      <c r="K192" s="48">
        <v>0</v>
      </c>
      <c r="L192" s="48">
        <v>11073.888000000001</v>
      </c>
      <c r="M192" s="48">
        <v>126648.952</v>
      </c>
      <c r="N192" s="48">
        <v>53269.321000000004</v>
      </c>
      <c r="O192" s="48">
        <v>230804.87299999999</v>
      </c>
      <c r="P192" s="40">
        <v>0</v>
      </c>
      <c r="Q192" s="48">
        <v>0</v>
      </c>
      <c r="R192" s="48">
        <v>2994.8829999999998</v>
      </c>
      <c r="S192" s="48">
        <v>148443.08499999999</v>
      </c>
      <c r="T192" s="48">
        <v>924110.424</v>
      </c>
      <c r="U192" s="50">
        <v>9295935.9900000002</v>
      </c>
    </row>
    <row r="193" spans="1:21">
      <c r="A193" s="44">
        <v>10401</v>
      </c>
      <c r="B193" s="40">
        <v>2454981.0049999999</v>
      </c>
      <c r="C193" s="40">
        <v>2454981.0049999999</v>
      </c>
      <c r="D193" s="48">
        <v>388216.45899999997</v>
      </c>
      <c r="E193" s="48">
        <v>388216.45899999997</v>
      </c>
      <c r="F193" s="40">
        <v>0</v>
      </c>
      <c r="G193" s="48">
        <v>0</v>
      </c>
      <c r="H193" s="40">
        <v>29746.151000000002</v>
      </c>
      <c r="I193" s="48">
        <v>29746.151000000002</v>
      </c>
      <c r="J193" s="48">
        <v>0</v>
      </c>
      <c r="K193" s="48">
        <v>0</v>
      </c>
      <c r="L193" s="48">
        <v>3512.114</v>
      </c>
      <c r="M193" s="48">
        <v>3512.114</v>
      </c>
      <c r="N193" s="48">
        <v>62</v>
      </c>
      <c r="O193" s="48">
        <v>62</v>
      </c>
      <c r="P193" s="40">
        <v>0</v>
      </c>
      <c r="Q193" s="48">
        <v>0</v>
      </c>
      <c r="R193" s="48">
        <v>13350.391</v>
      </c>
      <c r="S193" s="48">
        <v>13350.391</v>
      </c>
      <c r="T193" s="48">
        <v>2020093.89</v>
      </c>
      <c r="U193" s="50">
        <v>2020093.89</v>
      </c>
    </row>
    <row r="194" spans="1:21">
      <c r="A194" s="44">
        <v>10402</v>
      </c>
      <c r="B194" s="40">
        <v>683004.02300000004</v>
      </c>
      <c r="C194" s="40">
        <v>3137985.0279999999</v>
      </c>
      <c r="D194" s="48">
        <v>405515.66899999999</v>
      </c>
      <c r="E194" s="48">
        <v>793732.12800000003</v>
      </c>
      <c r="F194" s="40">
        <v>0</v>
      </c>
      <c r="G194" s="48">
        <v>0</v>
      </c>
      <c r="H194" s="40">
        <v>25877.913</v>
      </c>
      <c r="I194" s="48">
        <v>55624.063999999998</v>
      </c>
      <c r="J194" s="48">
        <v>0</v>
      </c>
      <c r="K194" s="48">
        <v>0</v>
      </c>
      <c r="L194" s="48">
        <v>5101.2049999999999</v>
      </c>
      <c r="M194" s="48">
        <v>8613.3189999999995</v>
      </c>
      <c r="N194" s="48">
        <v>62</v>
      </c>
      <c r="O194" s="48">
        <v>124</v>
      </c>
      <c r="P194" s="40">
        <v>0</v>
      </c>
      <c r="Q194" s="48">
        <v>0</v>
      </c>
      <c r="R194" s="48">
        <v>3727.732</v>
      </c>
      <c r="S194" s="48">
        <v>17078.123</v>
      </c>
      <c r="T194" s="48">
        <v>242719.50399999999</v>
      </c>
      <c r="U194" s="50">
        <v>2262813.3939999999</v>
      </c>
    </row>
    <row r="195" spans="1:21">
      <c r="A195" s="44">
        <v>10403</v>
      </c>
      <c r="B195" s="40">
        <v>822577.60600000003</v>
      </c>
      <c r="C195" s="40">
        <v>3960562.6340000001</v>
      </c>
      <c r="D195" s="48">
        <v>379814.76400000002</v>
      </c>
      <c r="E195" s="48">
        <v>1173546.892</v>
      </c>
      <c r="F195" s="40">
        <v>0</v>
      </c>
      <c r="G195" s="48">
        <v>0</v>
      </c>
      <c r="H195" s="40">
        <v>34099.023000000001</v>
      </c>
      <c r="I195" s="48">
        <v>89723.087</v>
      </c>
      <c r="J195" s="48">
        <v>0</v>
      </c>
      <c r="K195" s="48">
        <v>0</v>
      </c>
      <c r="L195" s="48">
        <v>6369.1790000000001</v>
      </c>
      <c r="M195" s="48">
        <v>14982.498</v>
      </c>
      <c r="N195" s="48">
        <v>0</v>
      </c>
      <c r="O195" s="48">
        <v>124</v>
      </c>
      <c r="P195" s="40">
        <v>0</v>
      </c>
      <c r="Q195" s="48">
        <v>0</v>
      </c>
      <c r="R195" s="48">
        <v>8779.36</v>
      </c>
      <c r="S195" s="48">
        <v>25857.483</v>
      </c>
      <c r="T195" s="48">
        <v>393515.28</v>
      </c>
      <c r="U195" s="50">
        <v>2656328.6740000001</v>
      </c>
    </row>
    <row r="196" spans="1:21">
      <c r="A196" s="44">
        <v>10404</v>
      </c>
      <c r="B196" s="40">
        <v>1559453.16</v>
      </c>
      <c r="C196" s="40">
        <v>5520015.7940000007</v>
      </c>
      <c r="D196" s="48">
        <v>795347.33799999999</v>
      </c>
      <c r="E196" s="48">
        <v>1968894.23</v>
      </c>
      <c r="F196" s="40">
        <v>0</v>
      </c>
      <c r="G196" s="48">
        <v>0</v>
      </c>
      <c r="H196" s="40">
        <v>39955.616000000002</v>
      </c>
      <c r="I196" s="48">
        <v>129678.70299999999</v>
      </c>
      <c r="J196" s="48">
        <v>0</v>
      </c>
      <c r="K196" s="48">
        <v>0</v>
      </c>
      <c r="L196" s="48">
        <v>5195.5230000000001</v>
      </c>
      <c r="M196" s="48">
        <v>20178.021000000001</v>
      </c>
      <c r="N196" s="48">
        <v>83.6</v>
      </c>
      <c r="O196" s="48">
        <v>207.6</v>
      </c>
      <c r="P196" s="40">
        <v>0</v>
      </c>
      <c r="Q196" s="48">
        <v>0</v>
      </c>
      <c r="R196" s="48">
        <v>1648.22</v>
      </c>
      <c r="S196" s="48">
        <v>27505.703000000001</v>
      </c>
      <c r="T196" s="48">
        <v>717222.86300000001</v>
      </c>
      <c r="U196" s="50">
        <v>3373551.537</v>
      </c>
    </row>
    <row r="197" spans="1:21">
      <c r="A197" s="44">
        <v>10405</v>
      </c>
      <c r="B197" s="40">
        <v>1596915.0780000002</v>
      </c>
      <c r="C197" s="40">
        <v>7116930.8719999995</v>
      </c>
      <c r="D197" s="48">
        <v>833970.201</v>
      </c>
      <c r="E197" s="48">
        <v>2802864.4309999999</v>
      </c>
      <c r="F197" s="40">
        <v>0</v>
      </c>
      <c r="G197" s="48">
        <v>0</v>
      </c>
      <c r="H197" s="40">
        <v>37371.392999999996</v>
      </c>
      <c r="I197" s="48">
        <v>167050.09599999999</v>
      </c>
      <c r="J197" s="48">
        <v>0</v>
      </c>
      <c r="K197" s="48">
        <v>0</v>
      </c>
      <c r="L197" s="48">
        <v>2696.558</v>
      </c>
      <c r="M197" s="48">
        <v>22874.579000000002</v>
      </c>
      <c r="N197" s="48">
        <v>11.8</v>
      </c>
      <c r="O197" s="48">
        <v>219.4</v>
      </c>
      <c r="P197" s="40">
        <v>0</v>
      </c>
      <c r="Q197" s="48">
        <v>0</v>
      </c>
      <c r="R197" s="48">
        <v>68302.737999999998</v>
      </c>
      <c r="S197" s="48">
        <v>95808.441000000006</v>
      </c>
      <c r="T197" s="48">
        <v>654562.38800000004</v>
      </c>
      <c r="U197" s="50">
        <v>4028113.9249999998</v>
      </c>
    </row>
    <row r="198" spans="1:21">
      <c r="A198" s="44">
        <v>10406</v>
      </c>
      <c r="B198" s="40">
        <v>1503396.6</v>
      </c>
      <c r="C198" s="40">
        <v>8620327.5</v>
      </c>
      <c r="D198" s="48">
        <v>529528.69999999995</v>
      </c>
      <c r="E198" s="48">
        <v>3332393.1</v>
      </c>
      <c r="F198" s="40">
        <v>0</v>
      </c>
      <c r="G198" s="48">
        <v>0</v>
      </c>
      <c r="H198" s="40">
        <v>42493.1</v>
      </c>
      <c r="I198" s="48">
        <v>209543.2</v>
      </c>
      <c r="J198" s="48">
        <v>0</v>
      </c>
      <c r="K198" s="48">
        <v>0</v>
      </c>
      <c r="L198" s="48">
        <v>4453.3999999999996</v>
      </c>
      <c r="M198" s="48">
        <v>27328</v>
      </c>
      <c r="N198" s="48">
        <v>50625.5</v>
      </c>
      <c r="O198" s="48">
        <v>50844.9</v>
      </c>
      <c r="P198" s="40">
        <v>0</v>
      </c>
      <c r="Q198" s="48">
        <v>0</v>
      </c>
      <c r="R198" s="48">
        <v>4497.2</v>
      </c>
      <c r="S198" s="48">
        <v>100305.7</v>
      </c>
      <c r="T198" s="48">
        <v>871798.7</v>
      </c>
      <c r="U198" s="50">
        <v>4899912.5999999996</v>
      </c>
    </row>
    <row r="199" spans="1:21">
      <c r="A199" s="44">
        <v>10407</v>
      </c>
      <c r="B199" s="40">
        <v>1254416.8999999999</v>
      </c>
      <c r="C199" s="40">
        <v>9874744.4000000004</v>
      </c>
      <c r="D199" s="48">
        <v>440221.7</v>
      </c>
      <c r="E199" s="48">
        <v>3772614.8</v>
      </c>
      <c r="F199" s="40">
        <v>0</v>
      </c>
      <c r="G199" s="48">
        <v>0</v>
      </c>
      <c r="H199" s="40">
        <v>33230.9</v>
      </c>
      <c r="I199" s="48">
        <v>242774.1</v>
      </c>
      <c r="J199" s="48">
        <v>0</v>
      </c>
      <c r="K199" s="48">
        <v>0</v>
      </c>
      <c r="L199" s="48">
        <v>15700.3</v>
      </c>
      <c r="M199" s="48">
        <v>43028.2</v>
      </c>
      <c r="N199" s="48">
        <v>675.3</v>
      </c>
      <c r="O199" s="48">
        <v>51520.2</v>
      </c>
      <c r="P199" s="40">
        <v>0</v>
      </c>
      <c r="Q199" s="48">
        <v>0</v>
      </c>
      <c r="R199" s="48">
        <v>6839.9</v>
      </c>
      <c r="S199" s="48">
        <v>107145.60000000001</v>
      </c>
      <c r="T199" s="48">
        <v>757748.9</v>
      </c>
      <c r="U199" s="50">
        <v>5657661.5</v>
      </c>
    </row>
    <row r="200" spans="1:21">
      <c r="A200" s="44">
        <v>10408</v>
      </c>
      <c r="B200" s="40">
        <v>1141916.8</v>
      </c>
      <c r="C200" s="40">
        <v>11016661.199999999</v>
      </c>
      <c r="D200" s="48">
        <v>390299.1</v>
      </c>
      <c r="E200" s="48">
        <v>4162913.9</v>
      </c>
      <c r="F200" s="40">
        <v>0</v>
      </c>
      <c r="G200" s="48">
        <v>0</v>
      </c>
      <c r="H200" s="40">
        <v>26542.5</v>
      </c>
      <c r="I200" s="48">
        <v>269316.59999999998</v>
      </c>
      <c r="J200" s="48">
        <v>0</v>
      </c>
      <c r="K200" s="48">
        <v>0</v>
      </c>
      <c r="L200" s="48">
        <v>5049.5</v>
      </c>
      <c r="M200" s="48">
        <v>48077.7</v>
      </c>
      <c r="N200" s="48">
        <v>24891.3</v>
      </c>
      <c r="O200" s="48">
        <v>76411.5</v>
      </c>
      <c r="P200" s="40">
        <v>0</v>
      </c>
      <c r="Q200" s="48">
        <v>0</v>
      </c>
      <c r="R200" s="48">
        <v>47227.4</v>
      </c>
      <c r="S200" s="48">
        <v>154373</v>
      </c>
      <c r="T200" s="48">
        <v>647907</v>
      </c>
      <c r="U200" s="50">
        <v>6305568.5</v>
      </c>
    </row>
    <row r="201" spans="1:21">
      <c r="A201" s="44">
        <v>10409</v>
      </c>
      <c r="B201" s="40">
        <v>927094.56900000013</v>
      </c>
      <c r="C201" s="40">
        <v>11943755.784</v>
      </c>
      <c r="D201" s="48">
        <v>370865.24300000002</v>
      </c>
      <c r="E201" s="48">
        <v>4533779.1880000001</v>
      </c>
      <c r="F201" s="40">
        <v>700</v>
      </c>
      <c r="G201" s="48">
        <v>700</v>
      </c>
      <c r="H201" s="40">
        <v>32520.888999999999</v>
      </c>
      <c r="I201" s="48">
        <v>301837.47600000002</v>
      </c>
      <c r="J201" s="48">
        <v>0</v>
      </c>
      <c r="K201" s="48">
        <v>0</v>
      </c>
      <c r="L201" s="48">
        <v>9717.6280000000006</v>
      </c>
      <c r="M201" s="48">
        <v>57795.334000000003</v>
      </c>
      <c r="N201" s="48">
        <v>657.74199999999996</v>
      </c>
      <c r="O201" s="48">
        <v>77069.266000000003</v>
      </c>
      <c r="P201" s="40">
        <v>0</v>
      </c>
      <c r="Q201" s="48">
        <v>0</v>
      </c>
      <c r="R201" s="48">
        <v>7523.1450000000004</v>
      </c>
      <c r="S201" s="48">
        <v>161896.10999999999</v>
      </c>
      <c r="T201" s="48">
        <v>505109.92200000002</v>
      </c>
      <c r="U201" s="50">
        <v>6810678.4100000001</v>
      </c>
    </row>
    <row r="202" spans="1:21" s="55" customFormat="1">
      <c r="A202" s="44">
        <v>10410</v>
      </c>
      <c r="B202" s="40">
        <f t="shared" ref="B202:C204" si="20">SUM(D202,F202,H202,J202,L202,N202,P202,R202,T202)</f>
        <v>1354602.3620000002</v>
      </c>
      <c r="C202" s="40">
        <f t="shared" si="20"/>
        <v>13298358.146</v>
      </c>
      <c r="D202" s="48">
        <v>492578.897</v>
      </c>
      <c r="E202" s="48">
        <v>5026358.085</v>
      </c>
      <c r="F202" s="40">
        <v>0</v>
      </c>
      <c r="G202" s="48">
        <v>700</v>
      </c>
      <c r="H202" s="40">
        <v>32811.398000000001</v>
      </c>
      <c r="I202" s="48">
        <v>334648.87400000001</v>
      </c>
      <c r="J202" s="48">
        <v>0</v>
      </c>
      <c r="K202" s="48">
        <v>0</v>
      </c>
      <c r="L202" s="48">
        <v>3554.9250000000002</v>
      </c>
      <c r="M202" s="48">
        <v>61350.258999999998</v>
      </c>
      <c r="N202" s="48">
        <v>364.10899999999998</v>
      </c>
      <c r="O202" s="48">
        <v>77433.375</v>
      </c>
      <c r="P202" s="40">
        <v>0</v>
      </c>
      <c r="Q202" s="48">
        <v>0</v>
      </c>
      <c r="R202" s="48">
        <v>3568.4969999999998</v>
      </c>
      <c r="S202" s="48">
        <v>165464.60699999999</v>
      </c>
      <c r="T202" s="48">
        <v>821724.53599999996</v>
      </c>
      <c r="U202" s="50">
        <v>7632402.9460000005</v>
      </c>
    </row>
    <row r="203" spans="1:21" s="56" customFormat="1">
      <c r="A203" s="44">
        <v>10411</v>
      </c>
      <c r="B203" s="40" t="e">
        <f t="shared" si="20"/>
        <v>#REF!</v>
      </c>
      <c r="C203" s="40" t="e">
        <f t="shared" si="20"/>
        <v>#REF!</v>
      </c>
      <c r="D203" s="48">
        <v>460980.10700000002</v>
      </c>
      <c r="E203" s="48">
        <v>5487338.1919999998</v>
      </c>
      <c r="F203" s="40">
        <v>0</v>
      </c>
      <c r="G203" s="48">
        <v>700</v>
      </c>
      <c r="H203" s="40">
        <v>32985.035000000003</v>
      </c>
      <c r="I203" s="48">
        <v>367633.90899999999</v>
      </c>
      <c r="J203" s="48">
        <v>0</v>
      </c>
      <c r="K203" s="48">
        <v>0</v>
      </c>
      <c r="L203" s="48">
        <v>6266.0450000000001</v>
      </c>
      <c r="M203" s="48">
        <v>67616.304000000004</v>
      </c>
      <c r="N203" s="48">
        <v>891</v>
      </c>
      <c r="O203" s="48">
        <v>78324.375</v>
      </c>
      <c r="P203" s="40" t="e">
        <v>#REF!</v>
      </c>
      <c r="Q203" s="48" t="e">
        <v>#REF!</v>
      </c>
      <c r="R203" s="48">
        <v>6996.6109999999999</v>
      </c>
      <c r="S203" s="48">
        <v>172461.21799999999</v>
      </c>
      <c r="T203" s="48">
        <v>443729.86900000001</v>
      </c>
      <c r="U203" s="50">
        <v>8076132.8150000004</v>
      </c>
    </row>
    <row r="204" spans="1:21">
      <c r="A204" s="44">
        <v>10412</v>
      </c>
      <c r="B204" s="40">
        <f t="shared" si="20"/>
        <v>1750854.8060000001</v>
      </c>
      <c r="C204" s="40">
        <f t="shared" si="20"/>
        <v>16001061.618999999</v>
      </c>
      <c r="D204" s="48">
        <v>635921.46</v>
      </c>
      <c r="E204" s="48">
        <v>6123259.6519999998</v>
      </c>
      <c r="F204" s="40">
        <v>0</v>
      </c>
      <c r="G204" s="48">
        <v>700</v>
      </c>
      <c r="H204" s="40">
        <v>46553.451999999997</v>
      </c>
      <c r="I204" s="48">
        <v>414187.36099999998</v>
      </c>
      <c r="J204" s="48">
        <v>0</v>
      </c>
      <c r="K204" s="48">
        <v>0</v>
      </c>
      <c r="L204" s="48">
        <v>8432.4310000000005</v>
      </c>
      <c r="M204" s="48">
        <v>76048.735000000001</v>
      </c>
      <c r="N204" s="48">
        <v>26287.03</v>
      </c>
      <c r="O204" s="48">
        <v>104611.405</v>
      </c>
      <c r="P204" s="40">
        <v>0</v>
      </c>
      <c r="Q204" s="48">
        <v>0</v>
      </c>
      <c r="R204" s="48">
        <v>6132.9620000000004</v>
      </c>
      <c r="S204" s="48">
        <v>178594.18</v>
      </c>
      <c r="T204" s="48">
        <v>1027527.471</v>
      </c>
      <c r="U204" s="50">
        <v>9103660.2860000003</v>
      </c>
    </row>
    <row r="205" spans="1:21">
      <c r="A205" s="44">
        <v>10501</v>
      </c>
      <c r="B205" s="40">
        <f t="shared" ref="B205:C207" si="21">SUM(D205,F205,H205,J205,L205,N205,P205,R205,T205)</f>
        <v>2645578.7449999996</v>
      </c>
      <c r="C205" s="40">
        <f t="shared" si="21"/>
        <v>2645578.7449999996</v>
      </c>
      <c r="D205" s="48">
        <v>374102.429</v>
      </c>
      <c r="E205" s="48">
        <v>374102.429</v>
      </c>
      <c r="F205" s="40">
        <v>0</v>
      </c>
      <c r="G205" s="48">
        <v>0</v>
      </c>
      <c r="H205" s="40">
        <v>25031.134999999998</v>
      </c>
      <c r="I205" s="48">
        <v>25031.134999999998</v>
      </c>
      <c r="J205" s="48">
        <v>0</v>
      </c>
      <c r="K205" s="48">
        <v>0</v>
      </c>
      <c r="L205" s="48">
        <v>3757.855</v>
      </c>
      <c r="M205" s="48">
        <v>3757.855</v>
      </c>
      <c r="N205" s="48">
        <v>248</v>
      </c>
      <c r="O205" s="48">
        <v>248</v>
      </c>
      <c r="P205" s="40">
        <v>0</v>
      </c>
      <c r="Q205" s="48">
        <v>0</v>
      </c>
      <c r="R205" s="48">
        <v>29267.097000000002</v>
      </c>
      <c r="S205" s="48">
        <v>29267.097000000002</v>
      </c>
      <c r="T205" s="48">
        <v>2213172.2289999998</v>
      </c>
      <c r="U205" s="50">
        <v>2213172.2289999998</v>
      </c>
    </row>
    <row r="206" spans="1:21">
      <c r="A206" s="44">
        <v>10502</v>
      </c>
      <c r="B206" s="40">
        <f t="shared" si="21"/>
        <v>498949.09099999996</v>
      </c>
      <c r="C206" s="40">
        <f t="shared" si="21"/>
        <v>3144527.8360000001</v>
      </c>
      <c r="D206" s="48">
        <v>362764.61099999998</v>
      </c>
      <c r="E206" s="48">
        <v>736867.04</v>
      </c>
      <c r="F206" s="40">
        <v>0</v>
      </c>
      <c r="G206" s="48">
        <v>0</v>
      </c>
      <c r="H206" s="40">
        <v>25781.596000000001</v>
      </c>
      <c r="I206" s="48">
        <v>50812.731</v>
      </c>
      <c r="J206" s="48">
        <v>0</v>
      </c>
      <c r="K206" s="48">
        <v>0</v>
      </c>
      <c r="L206" s="48">
        <v>4597.5339999999997</v>
      </c>
      <c r="M206" s="48">
        <v>8355.3889999999992</v>
      </c>
      <c r="N206" s="48">
        <v>62</v>
      </c>
      <c r="O206" s="48">
        <v>310</v>
      </c>
      <c r="P206" s="40">
        <v>0</v>
      </c>
      <c r="Q206" s="48">
        <v>0</v>
      </c>
      <c r="R206" s="48">
        <v>19359.035</v>
      </c>
      <c r="S206" s="48">
        <v>48626.131999999998</v>
      </c>
      <c r="T206" s="48">
        <v>86384.315000000002</v>
      </c>
      <c r="U206" s="50">
        <v>2299556.5440000002</v>
      </c>
    </row>
    <row r="207" spans="1:21">
      <c r="A207" s="44">
        <v>10503</v>
      </c>
      <c r="B207" s="40">
        <f t="shared" si="21"/>
        <v>1013660.3640000001</v>
      </c>
      <c r="C207" s="40">
        <f t="shared" si="21"/>
        <v>4158188.2</v>
      </c>
      <c r="D207" s="48">
        <v>444538.41700000002</v>
      </c>
      <c r="E207" s="48">
        <v>1181405.4569999999</v>
      </c>
      <c r="F207" s="40">
        <v>56419.843000000001</v>
      </c>
      <c r="G207" s="48">
        <v>56419.843000000001</v>
      </c>
      <c r="H207" s="40">
        <v>37349.288</v>
      </c>
      <c r="I207" s="48">
        <v>88162.019</v>
      </c>
      <c r="J207" s="48">
        <v>0</v>
      </c>
      <c r="K207" s="48">
        <v>0</v>
      </c>
      <c r="L207" s="48">
        <v>18834.329000000002</v>
      </c>
      <c r="M207" s="48">
        <v>27189.718000000001</v>
      </c>
      <c r="N207" s="48">
        <v>390.88900000000001</v>
      </c>
      <c r="O207" s="48">
        <v>700.88900000000001</v>
      </c>
      <c r="P207" s="40">
        <v>0</v>
      </c>
      <c r="Q207" s="48">
        <v>0</v>
      </c>
      <c r="R207" s="48">
        <v>10964.084000000001</v>
      </c>
      <c r="S207" s="48">
        <v>59590.216</v>
      </c>
      <c r="T207" s="48">
        <v>445163.51400000002</v>
      </c>
      <c r="U207" s="50">
        <v>2744720.0580000002</v>
      </c>
    </row>
    <row r="208" spans="1:21">
      <c r="A208" s="44">
        <v>10504</v>
      </c>
      <c r="B208" s="40">
        <f t="shared" ref="B208:C210" si="22">SUM(D208,F208,H208,J208,L208,N208,P208,R208,T208)</f>
        <v>1443590.7009999999</v>
      </c>
      <c r="C208" s="40">
        <f t="shared" si="22"/>
        <v>5601778.9010000005</v>
      </c>
      <c r="D208" s="48">
        <v>703370.78300000005</v>
      </c>
      <c r="E208" s="48">
        <v>1884776.24</v>
      </c>
      <c r="F208" s="40">
        <v>0</v>
      </c>
      <c r="G208" s="48">
        <v>56419.843000000001</v>
      </c>
      <c r="H208" s="40">
        <v>33729.557999999997</v>
      </c>
      <c r="I208" s="48">
        <v>121891.577</v>
      </c>
      <c r="J208" s="48">
        <v>0</v>
      </c>
      <c r="K208" s="48">
        <v>0</v>
      </c>
      <c r="L208" s="48">
        <v>6614.2520000000004</v>
      </c>
      <c r="M208" s="48">
        <v>33803.97</v>
      </c>
      <c r="N208" s="48">
        <v>222.8</v>
      </c>
      <c r="O208" s="48">
        <v>923.68899999999996</v>
      </c>
      <c r="P208" s="40">
        <v>0</v>
      </c>
      <c r="Q208" s="48">
        <v>0</v>
      </c>
      <c r="R208" s="48">
        <v>6435.27</v>
      </c>
      <c r="S208" s="48">
        <v>66025.486000000004</v>
      </c>
      <c r="T208" s="48">
        <v>693218.03799999994</v>
      </c>
      <c r="U208" s="50">
        <v>3437938.0959999999</v>
      </c>
    </row>
    <row r="209" spans="1:21">
      <c r="A209" s="44">
        <v>10505</v>
      </c>
      <c r="B209" s="40">
        <f t="shared" si="22"/>
        <v>1910219.003</v>
      </c>
      <c r="C209" s="40">
        <f t="shared" si="22"/>
        <v>7511997.9039999992</v>
      </c>
      <c r="D209" s="48">
        <v>845087.92799999996</v>
      </c>
      <c r="E209" s="48">
        <v>2729864.1680000001</v>
      </c>
      <c r="F209" s="40">
        <v>0</v>
      </c>
      <c r="G209" s="48">
        <v>56419.843000000001</v>
      </c>
      <c r="H209" s="40">
        <v>29359.61</v>
      </c>
      <c r="I209" s="48">
        <v>151251.18700000001</v>
      </c>
      <c r="J209" s="48">
        <v>0</v>
      </c>
      <c r="K209" s="48">
        <v>0</v>
      </c>
      <c r="L209" s="48">
        <v>23491.436000000002</v>
      </c>
      <c r="M209" s="48">
        <v>57295.406000000003</v>
      </c>
      <c r="N209" s="48">
        <v>78.61</v>
      </c>
      <c r="O209" s="48">
        <v>1002.299</v>
      </c>
      <c r="P209" s="40">
        <v>0</v>
      </c>
      <c r="Q209" s="48">
        <v>0</v>
      </c>
      <c r="R209" s="48">
        <v>7532.55</v>
      </c>
      <c r="S209" s="48">
        <v>73558.035999999993</v>
      </c>
      <c r="T209" s="48">
        <v>1004668.8689999999</v>
      </c>
      <c r="U209" s="50">
        <v>4442606.9649999999</v>
      </c>
    </row>
    <row r="210" spans="1:21" s="56" customFormat="1">
      <c r="A210" s="44">
        <v>10506</v>
      </c>
      <c r="B210" s="40">
        <f t="shared" si="22"/>
        <v>1086432.013</v>
      </c>
      <c r="C210" s="40">
        <f t="shared" si="22"/>
        <v>8598429.9170000013</v>
      </c>
      <c r="D210" s="48">
        <v>594393.63600000006</v>
      </c>
      <c r="E210" s="48">
        <v>3324257.804</v>
      </c>
      <c r="F210" s="40">
        <v>-56419.843000000001</v>
      </c>
      <c r="G210" s="48">
        <v>0</v>
      </c>
      <c r="H210" s="40">
        <v>34192.074999999997</v>
      </c>
      <c r="I210" s="48">
        <v>185443.26199999999</v>
      </c>
      <c r="J210" s="48">
        <v>0</v>
      </c>
      <c r="K210" s="48">
        <v>0</v>
      </c>
      <c r="L210" s="48">
        <v>5149.7160000000003</v>
      </c>
      <c r="M210" s="48">
        <v>62445.122000000003</v>
      </c>
      <c r="N210" s="48">
        <v>0</v>
      </c>
      <c r="O210" s="48">
        <v>1002.299</v>
      </c>
      <c r="P210" s="40">
        <v>0</v>
      </c>
      <c r="Q210" s="48">
        <v>0</v>
      </c>
      <c r="R210" s="48">
        <v>2564.5790000000002</v>
      </c>
      <c r="S210" s="48">
        <v>76122.615000000005</v>
      </c>
      <c r="T210" s="48">
        <v>506551.85</v>
      </c>
      <c r="U210" s="50">
        <v>4949158.8150000004</v>
      </c>
    </row>
    <row r="211" spans="1:21" s="56" customFormat="1">
      <c r="A211" s="44">
        <v>10507</v>
      </c>
      <c r="B211" s="40">
        <f t="shared" ref="B211:C213" si="23">SUM(D211,F211,H211,J211,L211,N211,P211,R211,T211)</f>
        <v>1107581.821</v>
      </c>
      <c r="C211" s="40">
        <f t="shared" si="23"/>
        <v>9706011.7379999999</v>
      </c>
      <c r="D211" s="59">
        <v>399106.49900000001</v>
      </c>
      <c r="E211" s="59">
        <v>3723364.3029999998</v>
      </c>
      <c r="F211" s="40">
        <v>0</v>
      </c>
      <c r="G211" s="48">
        <v>0</v>
      </c>
      <c r="H211" s="60">
        <v>33908.091</v>
      </c>
      <c r="I211" s="59">
        <v>219351.353</v>
      </c>
      <c r="J211" s="40">
        <v>0</v>
      </c>
      <c r="K211" s="48">
        <v>0</v>
      </c>
      <c r="L211" s="59">
        <v>11350.824000000001</v>
      </c>
      <c r="M211" s="59">
        <v>73795.945999999996</v>
      </c>
      <c r="N211" s="48">
        <v>6.2519999999999998</v>
      </c>
      <c r="O211" s="48">
        <v>1008.551</v>
      </c>
      <c r="P211" s="40">
        <v>0</v>
      </c>
      <c r="Q211" s="48">
        <v>0</v>
      </c>
      <c r="R211" s="48">
        <v>6982.768</v>
      </c>
      <c r="S211" s="48">
        <v>83105.383000000002</v>
      </c>
      <c r="T211" s="48">
        <v>656227.38699999999</v>
      </c>
      <c r="U211" s="50">
        <v>5605386.2019999996</v>
      </c>
    </row>
    <row r="212" spans="1:21" s="56" customFormat="1">
      <c r="A212" s="44">
        <v>10508</v>
      </c>
      <c r="B212" s="40">
        <f t="shared" si="23"/>
        <v>1247984.8659999999</v>
      </c>
      <c r="C212" s="40">
        <f t="shared" si="23"/>
        <v>10953996.603999998</v>
      </c>
      <c r="D212" s="59">
        <v>440365.674</v>
      </c>
      <c r="E212" s="59">
        <v>4163729.977</v>
      </c>
      <c r="F212" s="40">
        <v>0</v>
      </c>
      <c r="G212" s="48">
        <v>0</v>
      </c>
      <c r="H212" s="60">
        <v>35143.01</v>
      </c>
      <c r="I212" s="59">
        <v>254494.36300000001</v>
      </c>
      <c r="J212" s="40">
        <v>0</v>
      </c>
      <c r="K212" s="48">
        <v>0</v>
      </c>
      <c r="L212" s="59">
        <v>8424.4629999999997</v>
      </c>
      <c r="M212" s="59">
        <v>82220.409</v>
      </c>
      <c r="N212" s="63">
        <v>-6.2519999999999998</v>
      </c>
      <c r="O212" s="48">
        <v>1002.299</v>
      </c>
      <c r="P212" s="40">
        <v>0</v>
      </c>
      <c r="Q212" s="48">
        <v>0</v>
      </c>
      <c r="R212" s="48">
        <v>8589.5020000000004</v>
      </c>
      <c r="S212" s="48">
        <v>91694.884999999995</v>
      </c>
      <c r="T212" s="48">
        <v>755468.46900000004</v>
      </c>
      <c r="U212" s="50">
        <v>6360854.6710000001</v>
      </c>
    </row>
    <row r="213" spans="1:21" s="56" customFormat="1">
      <c r="A213" s="44">
        <v>10509</v>
      </c>
      <c r="B213" s="40">
        <f t="shared" si="23"/>
        <v>961028.12800000003</v>
      </c>
      <c r="C213" s="40">
        <f t="shared" si="23"/>
        <v>11915024.732000001</v>
      </c>
      <c r="D213" s="59">
        <v>369040.21600000001</v>
      </c>
      <c r="E213" s="59">
        <v>4532770.193</v>
      </c>
      <c r="F213" s="40">
        <v>0</v>
      </c>
      <c r="G213" s="48">
        <v>0</v>
      </c>
      <c r="H213" s="60">
        <v>30112.435000000001</v>
      </c>
      <c r="I213" s="59">
        <v>284606.79800000001</v>
      </c>
      <c r="J213" s="40">
        <v>0</v>
      </c>
      <c r="K213" s="48">
        <v>0</v>
      </c>
      <c r="L213" s="59">
        <v>965.34</v>
      </c>
      <c r="M213" s="59">
        <v>83185.748999999996</v>
      </c>
      <c r="N213" s="48">
        <v>196.84200000000001</v>
      </c>
      <c r="O213" s="48">
        <v>1199.1410000000001</v>
      </c>
      <c r="P213" s="40">
        <v>0</v>
      </c>
      <c r="Q213" s="48">
        <v>0</v>
      </c>
      <c r="R213" s="48">
        <v>6617.7420000000002</v>
      </c>
      <c r="S213" s="48">
        <v>98312.626999999993</v>
      </c>
      <c r="T213" s="48">
        <v>554095.55299999996</v>
      </c>
      <c r="U213" s="50">
        <v>6914950.2240000004</v>
      </c>
    </row>
    <row r="214" spans="1:21">
      <c r="A214" s="44">
        <v>10510</v>
      </c>
      <c r="B214" s="40">
        <f>SUM(D214,F214,H214,J214,L214,N214,P214,R214,T214)</f>
        <v>1267363.6609999998</v>
      </c>
      <c r="C214" s="40">
        <f>SUM(E214,G214,I214,K214,M214,O214,Q214,S214,U214)</f>
        <v>13182388.392999999</v>
      </c>
      <c r="D214" s="59">
        <v>459614.70299999998</v>
      </c>
      <c r="E214" s="59">
        <v>4992384.8959999997</v>
      </c>
      <c r="F214" s="40">
        <v>0</v>
      </c>
      <c r="G214" s="48">
        <v>0</v>
      </c>
      <c r="H214" s="60">
        <v>34239.745000000003</v>
      </c>
      <c r="I214" s="59">
        <v>318846.54300000001</v>
      </c>
      <c r="J214" s="40">
        <v>0</v>
      </c>
      <c r="K214" s="48">
        <v>0</v>
      </c>
      <c r="L214" s="59">
        <v>3529.2730000000001</v>
      </c>
      <c r="M214" s="59">
        <v>86715.021999999997</v>
      </c>
      <c r="N214" s="48">
        <v>111.69199999999999</v>
      </c>
      <c r="O214" s="48">
        <v>1310.8330000000001</v>
      </c>
      <c r="P214" s="40">
        <v>0</v>
      </c>
      <c r="Q214" s="48">
        <v>0</v>
      </c>
      <c r="R214" s="48">
        <v>13621.93</v>
      </c>
      <c r="S214" s="48">
        <v>111934.557</v>
      </c>
      <c r="T214" s="48">
        <v>756246.31799999997</v>
      </c>
      <c r="U214" s="50">
        <v>7671196.5420000004</v>
      </c>
    </row>
    <row r="215" spans="1:21">
      <c r="A215" s="44">
        <v>10511</v>
      </c>
      <c r="B215" s="40">
        <v>1201348.1969999997</v>
      </c>
      <c r="C215" s="40">
        <v>14383736.59</v>
      </c>
      <c r="D215" s="59">
        <v>548238.22400000005</v>
      </c>
      <c r="E215" s="59">
        <v>5540623.1200000001</v>
      </c>
      <c r="F215" s="40">
        <v>0</v>
      </c>
      <c r="G215" s="48">
        <v>0</v>
      </c>
      <c r="H215" s="60">
        <v>33682.508999999998</v>
      </c>
      <c r="I215" s="59">
        <v>352529.05200000003</v>
      </c>
      <c r="J215" s="40">
        <v>0</v>
      </c>
      <c r="K215" s="48">
        <v>0</v>
      </c>
      <c r="L215" s="59">
        <v>2405.1019999999999</v>
      </c>
      <c r="M215" s="59">
        <v>89120.123999999996</v>
      </c>
      <c r="N215" s="48">
        <v>467.48899999999998</v>
      </c>
      <c r="O215" s="48">
        <v>1778.3219999999999</v>
      </c>
      <c r="P215" s="40">
        <v>0</v>
      </c>
      <c r="Q215" s="48">
        <v>0</v>
      </c>
      <c r="R215" s="48">
        <v>13211.933000000001</v>
      </c>
      <c r="S215" s="48">
        <v>125146.49</v>
      </c>
      <c r="T215" s="48">
        <v>603342.93999999994</v>
      </c>
      <c r="U215" s="50">
        <v>8274539.4819999998</v>
      </c>
    </row>
    <row r="216" spans="1:21">
      <c r="A216" s="44">
        <v>10512</v>
      </c>
      <c r="B216" s="40">
        <v>1748456.2170000002</v>
      </c>
      <c r="C216" s="40">
        <v>16132192.807000002</v>
      </c>
      <c r="D216" s="59">
        <v>609919.57400000002</v>
      </c>
      <c r="E216" s="59">
        <v>6150542.6940000001</v>
      </c>
      <c r="F216" s="40">
        <v>0</v>
      </c>
      <c r="G216" s="48">
        <v>0</v>
      </c>
      <c r="H216" s="60">
        <v>36347.250999999997</v>
      </c>
      <c r="I216" s="59">
        <v>388876.30300000001</v>
      </c>
      <c r="J216" s="40">
        <v>0</v>
      </c>
      <c r="K216" s="48">
        <v>0</v>
      </c>
      <c r="L216" s="59">
        <v>7303.299</v>
      </c>
      <c r="M216" s="59">
        <v>96423.422999999995</v>
      </c>
      <c r="N216" s="48">
        <v>50196.440999999999</v>
      </c>
      <c r="O216" s="48">
        <v>51974.762999999999</v>
      </c>
      <c r="P216" s="40">
        <v>0</v>
      </c>
      <c r="Q216" s="48">
        <v>0</v>
      </c>
      <c r="R216" s="48">
        <v>116092.333</v>
      </c>
      <c r="S216" s="48">
        <v>241238.823</v>
      </c>
      <c r="T216" s="48">
        <v>928597.31900000002</v>
      </c>
      <c r="U216" s="50">
        <v>9203136.8010000009</v>
      </c>
    </row>
    <row r="217" spans="1:21">
      <c r="A217" s="44">
        <v>10601</v>
      </c>
      <c r="B217" s="40">
        <v>2737928.7689999999</v>
      </c>
      <c r="C217" s="40">
        <v>2737928.7689999999</v>
      </c>
      <c r="D217" s="59">
        <v>484649.62800000003</v>
      </c>
      <c r="E217" s="59">
        <v>484649.62800000003</v>
      </c>
      <c r="F217" s="40">
        <v>0</v>
      </c>
      <c r="G217" s="48">
        <v>0</v>
      </c>
      <c r="H217" s="60">
        <v>27169.047999999999</v>
      </c>
      <c r="I217" s="59">
        <v>27169.047999999999</v>
      </c>
      <c r="J217" s="40">
        <v>0</v>
      </c>
      <c r="K217" s="48">
        <v>0</v>
      </c>
      <c r="L217" s="59">
        <v>5543.6030000000001</v>
      </c>
      <c r="M217" s="59">
        <v>5543.6030000000001</v>
      </c>
      <c r="N217" s="48">
        <v>470</v>
      </c>
      <c r="O217" s="48">
        <v>470</v>
      </c>
      <c r="P217" s="40">
        <v>0</v>
      </c>
      <c r="Q217" s="48">
        <v>0</v>
      </c>
      <c r="R217" s="48">
        <v>4508.0330000000004</v>
      </c>
      <c r="S217" s="48">
        <v>4508.0330000000004</v>
      </c>
      <c r="T217" s="48">
        <v>2215588.4569999999</v>
      </c>
      <c r="U217" s="50">
        <v>2215588.4569999999</v>
      </c>
    </row>
    <row r="218" spans="1:21">
      <c r="A218" s="44">
        <v>10602</v>
      </c>
      <c r="B218" s="40">
        <v>884494.02399999998</v>
      </c>
      <c r="C218" s="40">
        <v>3622422.7930000005</v>
      </c>
      <c r="D218" s="59">
        <v>403587.24900000001</v>
      </c>
      <c r="E218" s="59">
        <v>888236.87699999998</v>
      </c>
      <c r="F218" s="40">
        <v>0</v>
      </c>
      <c r="G218" s="48">
        <v>0</v>
      </c>
      <c r="H218" s="60">
        <v>27669.241999999998</v>
      </c>
      <c r="I218" s="59">
        <v>54838.29</v>
      </c>
      <c r="J218" s="40">
        <v>0</v>
      </c>
      <c r="K218" s="48">
        <v>0</v>
      </c>
      <c r="L218" s="59">
        <v>6573.4369999999999</v>
      </c>
      <c r="M218" s="59">
        <v>12117.04</v>
      </c>
      <c r="N218" s="48">
        <v>6686</v>
      </c>
      <c r="O218" s="48">
        <v>7156</v>
      </c>
      <c r="P218" s="40">
        <v>0</v>
      </c>
      <c r="Q218" s="48">
        <v>0</v>
      </c>
      <c r="R218" s="48">
        <v>293540.24200000003</v>
      </c>
      <c r="S218" s="48">
        <v>298048.27500000002</v>
      </c>
      <c r="T218" s="48">
        <v>146437.85399999999</v>
      </c>
      <c r="U218" s="50">
        <v>2362026.3110000002</v>
      </c>
    </row>
    <row r="219" spans="1:21">
      <c r="A219" s="44">
        <v>10603</v>
      </c>
      <c r="B219" s="40">
        <v>956966.76799999992</v>
      </c>
      <c r="C219" s="40">
        <v>4579389.8810000001</v>
      </c>
      <c r="D219" s="59">
        <v>441001.48200000002</v>
      </c>
      <c r="E219" s="59">
        <v>1329238.679</v>
      </c>
      <c r="F219" s="40">
        <v>0</v>
      </c>
      <c r="G219" s="48">
        <v>0</v>
      </c>
      <c r="H219" s="60">
        <v>38470.436999999998</v>
      </c>
      <c r="I219" s="59">
        <v>93308.726999999999</v>
      </c>
      <c r="J219" s="40">
        <v>0</v>
      </c>
      <c r="K219" s="48">
        <v>0</v>
      </c>
      <c r="L219" s="59">
        <v>3612.5889999999999</v>
      </c>
      <c r="M219" s="59">
        <v>15729.629000000001</v>
      </c>
      <c r="N219" s="48">
        <v>173.1</v>
      </c>
      <c r="O219" s="48">
        <v>7329.1</v>
      </c>
      <c r="P219" s="40">
        <v>0</v>
      </c>
      <c r="Q219" s="48">
        <v>0</v>
      </c>
      <c r="R219" s="48">
        <v>12712.522999999999</v>
      </c>
      <c r="S219" s="48">
        <v>310760.79800000001</v>
      </c>
      <c r="T219" s="48">
        <v>460996.63699999999</v>
      </c>
      <c r="U219" s="50">
        <v>2823022.9479999999</v>
      </c>
    </row>
    <row r="220" spans="1:21">
      <c r="A220" s="44">
        <v>10604</v>
      </c>
      <c r="B220" s="40">
        <v>1849632.781</v>
      </c>
      <c r="C220" s="40">
        <v>6429022.3420000002</v>
      </c>
      <c r="D220" s="59">
        <v>1087669.598</v>
      </c>
      <c r="E220" s="59">
        <v>2416907.9569999999</v>
      </c>
      <c r="F220" s="40">
        <v>0</v>
      </c>
      <c r="G220" s="48">
        <v>0</v>
      </c>
      <c r="H220" s="60">
        <v>32448.075000000001</v>
      </c>
      <c r="I220" s="59">
        <v>125756.802</v>
      </c>
      <c r="J220" s="40">
        <v>0</v>
      </c>
      <c r="K220" s="48">
        <v>0</v>
      </c>
      <c r="L220" s="59">
        <v>5852.9639999999999</v>
      </c>
      <c r="M220" s="59">
        <v>21582.593000000001</v>
      </c>
      <c r="N220" s="48">
        <v>90.796000000000006</v>
      </c>
      <c r="O220" s="48">
        <v>7419.8959999999997</v>
      </c>
      <c r="P220" s="40">
        <v>0</v>
      </c>
      <c r="Q220" s="48">
        <v>0</v>
      </c>
      <c r="R220" s="48">
        <v>4531.183</v>
      </c>
      <c r="S220" s="48">
        <v>315291.98100000003</v>
      </c>
      <c r="T220" s="48">
        <v>719040.16500000004</v>
      </c>
      <c r="U220" s="50">
        <v>3542063.1129999999</v>
      </c>
    </row>
    <row r="221" spans="1:21">
      <c r="A221" s="61">
        <v>10605</v>
      </c>
      <c r="B221" s="40">
        <v>2048117.4670000002</v>
      </c>
      <c r="C221" s="62">
        <v>8477139.8090000004</v>
      </c>
      <c r="D221" s="59">
        <v>914910.42</v>
      </c>
      <c r="E221" s="59">
        <v>3331818.3769999999</v>
      </c>
      <c r="F221" s="40">
        <v>0</v>
      </c>
      <c r="G221" s="48">
        <v>0</v>
      </c>
      <c r="H221" s="60">
        <v>33585.470999999998</v>
      </c>
      <c r="I221" s="59">
        <v>159342.27299999999</v>
      </c>
      <c r="J221" s="40">
        <v>0</v>
      </c>
      <c r="K221" s="48">
        <v>0</v>
      </c>
      <c r="L221" s="59">
        <v>12468.124</v>
      </c>
      <c r="M221" s="59">
        <v>34050.716999999997</v>
      </c>
      <c r="N221" s="48">
        <v>194.02500000000001</v>
      </c>
      <c r="O221" s="48">
        <v>7613.9210000000003</v>
      </c>
      <c r="P221" s="40">
        <v>0</v>
      </c>
      <c r="Q221" s="48">
        <v>0</v>
      </c>
      <c r="R221" s="48">
        <v>4696.34</v>
      </c>
      <c r="S221" s="48">
        <v>319988.321</v>
      </c>
      <c r="T221" s="48">
        <v>1082263.0870000001</v>
      </c>
      <c r="U221" s="50">
        <v>4624326.2</v>
      </c>
    </row>
    <row r="222" spans="1:21">
      <c r="A222" s="44">
        <v>10606</v>
      </c>
      <c r="B222" s="40">
        <v>1398593.0209999999</v>
      </c>
      <c r="C222" s="40">
        <v>9875732.8300000001</v>
      </c>
      <c r="D222" s="59">
        <v>615463.75399999996</v>
      </c>
      <c r="E222" s="59">
        <v>3947282.1310000001</v>
      </c>
      <c r="F222" s="40">
        <v>0</v>
      </c>
      <c r="G222" s="48">
        <v>0</v>
      </c>
      <c r="H222" s="60">
        <v>38418.555999999997</v>
      </c>
      <c r="I222" s="59">
        <v>197760.829</v>
      </c>
      <c r="J222" s="40">
        <v>0</v>
      </c>
      <c r="K222" s="48">
        <v>0</v>
      </c>
      <c r="L222" s="59">
        <v>4393.0879999999997</v>
      </c>
      <c r="M222" s="59">
        <v>38443.805</v>
      </c>
      <c r="N222" s="48">
        <v>122.883</v>
      </c>
      <c r="O222" s="48">
        <v>7736.8040000000001</v>
      </c>
      <c r="P222" s="40">
        <v>0</v>
      </c>
      <c r="Q222" s="48">
        <v>0</v>
      </c>
      <c r="R222" s="48">
        <v>3988.0720000000001</v>
      </c>
      <c r="S222" s="48">
        <v>323976.39299999998</v>
      </c>
      <c r="T222" s="48">
        <v>736206.66799999995</v>
      </c>
      <c r="U222" s="50">
        <v>5360532.8679999998</v>
      </c>
    </row>
    <row r="223" spans="1:21">
      <c r="A223" s="44">
        <v>10607</v>
      </c>
      <c r="B223" s="40">
        <v>1388737.02</v>
      </c>
      <c r="C223" s="40">
        <v>11264469.85</v>
      </c>
      <c r="D223" s="59">
        <v>440366.82199999999</v>
      </c>
      <c r="E223" s="59">
        <v>4387648.9529999997</v>
      </c>
      <c r="F223" s="40">
        <v>0</v>
      </c>
      <c r="G223" s="48">
        <v>0</v>
      </c>
      <c r="H223" s="60">
        <v>35498.917999999998</v>
      </c>
      <c r="I223" s="59">
        <v>233259.747</v>
      </c>
      <c r="J223" s="40">
        <v>0</v>
      </c>
      <c r="K223" s="48">
        <v>0</v>
      </c>
      <c r="L223" s="59">
        <v>20216.494999999999</v>
      </c>
      <c r="M223" s="59">
        <v>58660.3</v>
      </c>
      <c r="N223" s="48">
        <v>28</v>
      </c>
      <c r="O223" s="48">
        <v>7764.8040000000001</v>
      </c>
      <c r="P223" s="40">
        <v>0</v>
      </c>
      <c r="Q223" s="48">
        <v>0</v>
      </c>
      <c r="R223" s="48">
        <v>23019.192999999999</v>
      </c>
      <c r="S223" s="48">
        <v>346995.58600000001</v>
      </c>
      <c r="T223" s="48">
        <v>869607.59199999995</v>
      </c>
      <c r="U223" s="50">
        <v>6230140.46</v>
      </c>
    </row>
    <row r="224" spans="1:21">
      <c r="A224" s="44">
        <v>10608</v>
      </c>
      <c r="B224" s="40">
        <v>1052735.3500000001</v>
      </c>
      <c r="C224" s="40">
        <v>12317205.199999999</v>
      </c>
      <c r="D224" s="59">
        <v>442051.65399999998</v>
      </c>
      <c r="E224" s="59">
        <v>4829700.6069999998</v>
      </c>
      <c r="F224" s="40">
        <v>0</v>
      </c>
      <c r="G224" s="48">
        <v>0</v>
      </c>
      <c r="H224" s="60">
        <v>33636.302000000003</v>
      </c>
      <c r="I224" s="59">
        <v>266896.049</v>
      </c>
      <c r="J224" s="40">
        <v>0</v>
      </c>
      <c r="K224" s="48">
        <v>0</v>
      </c>
      <c r="L224" s="59">
        <v>6272.183</v>
      </c>
      <c r="M224" s="59">
        <v>64932.483</v>
      </c>
      <c r="N224" s="63">
        <v>-90.796000000000006</v>
      </c>
      <c r="O224" s="48">
        <v>7674.0079999999998</v>
      </c>
      <c r="P224" s="40">
        <v>0</v>
      </c>
      <c r="Q224" s="48">
        <v>0</v>
      </c>
      <c r="R224" s="48">
        <v>40798.529000000002</v>
      </c>
      <c r="S224" s="48">
        <v>387794.11499999999</v>
      </c>
      <c r="T224" s="48">
        <v>530067.478</v>
      </c>
      <c r="U224" s="50">
        <v>6760207.9380000001</v>
      </c>
    </row>
    <row r="225" spans="1:152">
      <c r="A225" s="44">
        <v>10609</v>
      </c>
      <c r="B225" s="40">
        <v>1068309.2949999999</v>
      </c>
      <c r="C225" s="40">
        <v>13385514.495000001</v>
      </c>
      <c r="D225" s="59">
        <v>417498.10600000003</v>
      </c>
      <c r="E225" s="59">
        <v>5247198.7130000005</v>
      </c>
      <c r="F225" s="40">
        <v>0</v>
      </c>
      <c r="G225" s="48">
        <v>0</v>
      </c>
      <c r="H225" s="60">
        <v>32679.710999999999</v>
      </c>
      <c r="I225" s="59">
        <v>299575.76</v>
      </c>
      <c r="J225" s="40">
        <v>0</v>
      </c>
      <c r="K225" s="48">
        <v>0</v>
      </c>
      <c r="L225" s="59">
        <v>9675.8330000000005</v>
      </c>
      <c r="M225" s="59">
        <v>74608.316000000006</v>
      </c>
      <c r="N225" s="65">
        <v>0</v>
      </c>
      <c r="O225" s="48">
        <v>7674.0079999999998</v>
      </c>
      <c r="P225" s="40">
        <v>0</v>
      </c>
      <c r="Q225" s="48">
        <v>0</v>
      </c>
      <c r="R225" s="48">
        <v>11882.405000000001</v>
      </c>
      <c r="S225" s="48">
        <v>399676.52</v>
      </c>
      <c r="T225" s="48">
        <v>596573.24</v>
      </c>
      <c r="U225" s="50">
        <v>7356781.1780000003</v>
      </c>
    </row>
    <row r="226" spans="1:152" s="64" customFormat="1" ht="17.25" thickBot="1">
      <c r="A226" s="44">
        <v>10610</v>
      </c>
      <c r="B226" s="40">
        <v>1459933.6090000002</v>
      </c>
      <c r="C226" s="40">
        <v>14845448.104000002</v>
      </c>
      <c r="D226" s="59">
        <v>684895.67</v>
      </c>
      <c r="E226" s="59">
        <v>5932094.3830000004</v>
      </c>
      <c r="F226" s="40">
        <v>0</v>
      </c>
      <c r="G226" s="48">
        <v>0</v>
      </c>
      <c r="H226" s="60">
        <v>31022.272000000001</v>
      </c>
      <c r="I226" s="59">
        <v>330598.03200000001</v>
      </c>
      <c r="J226" s="40">
        <v>0</v>
      </c>
      <c r="K226" s="48">
        <v>0</v>
      </c>
      <c r="L226" s="63">
        <v>-1280.569</v>
      </c>
      <c r="M226" s="59">
        <v>73327.747000000003</v>
      </c>
      <c r="N226" s="67">
        <v>180.75</v>
      </c>
      <c r="O226" s="48">
        <v>7854.7579999999998</v>
      </c>
      <c r="P226" s="40">
        <v>0</v>
      </c>
      <c r="Q226" s="48">
        <v>0</v>
      </c>
      <c r="R226" s="48">
        <v>46575.036999999997</v>
      </c>
      <c r="S226" s="48">
        <v>446251.55699999997</v>
      </c>
      <c r="T226" s="48">
        <v>698540.44900000002</v>
      </c>
      <c r="U226" s="50">
        <v>8055321.6270000003</v>
      </c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</row>
    <row r="227" spans="1:152">
      <c r="A227" s="44">
        <v>10611</v>
      </c>
      <c r="B227" s="40">
        <v>1278156.523</v>
      </c>
      <c r="C227" s="40">
        <v>16123356.214000002</v>
      </c>
      <c r="D227" s="59">
        <v>580477.09400000004</v>
      </c>
      <c r="E227" s="59">
        <v>6512571.477</v>
      </c>
      <c r="F227" s="40">
        <v>0</v>
      </c>
      <c r="G227" s="48">
        <v>0</v>
      </c>
      <c r="H227" s="60">
        <v>31637.538</v>
      </c>
      <c r="I227" s="59">
        <v>362235.57</v>
      </c>
      <c r="J227" s="40">
        <v>0</v>
      </c>
      <c r="K227" s="48">
        <v>0</v>
      </c>
      <c r="L227" s="63">
        <v>3829.5990000000002</v>
      </c>
      <c r="M227" s="59">
        <v>76908.933000000005</v>
      </c>
      <c r="N227" s="67">
        <v>146.38200000000001</v>
      </c>
      <c r="O227" s="48">
        <v>8001.14</v>
      </c>
      <c r="P227" s="40">
        <v>0</v>
      </c>
      <c r="Q227" s="48">
        <v>0</v>
      </c>
      <c r="R227" s="48">
        <v>19497.795999999998</v>
      </c>
      <c r="S227" s="48">
        <v>465749.353</v>
      </c>
      <c r="T227" s="48">
        <v>642568.11399999994</v>
      </c>
      <c r="U227" s="50">
        <v>8697889.7410000004</v>
      </c>
    </row>
    <row r="228" spans="1:152" s="56" customFormat="1">
      <c r="A228" s="44">
        <v>10612</v>
      </c>
      <c r="B228" s="40">
        <v>1661113.4169999999</v>
      </c>
      <c r="C228" s="40">
        <v>17784718.044</v>
      </c>
      <c r="D228" s="59">
        <v>608274.56799999997</v>
      </c>
      <c r="E228" s="59">
        <v>7120846.0449999999</v>
      </c>
      <c r="F228" s="40">
        <v>0</v>
      </c>
      <c r="G228" s="48">
        <v>0</v>
      </c>
      <c r="H228" s="60">
        <v>40027.684999999998</v>
      </c>
      <c r="I228" s="59">
        <v>402263.255</v>
      </c>
      <c r="J228" s="40">
        <v>0</v>
      </c>
      <c r="K228" s="48">
        <v>0</v>
      </c>
      <c r="L228" s="63">
        <v>11655.216</v>
      </c>
      <c r="M228" s="59">
        <v>88812.562000000005</v>
      </c>
      <c r="N228" s="67">
        <v>771.17600000000004</v>
      </c>
      <c r="O228" s="48">
        <v>8772.3160000000007</v>
      </c>
      <c r="P228" s="40">
        <v>0</v>
      </c>
      <c r="Q228" s="48">
        <v>0</v>
      </c>
      <c r="R228" s="48">
        <v>51614.525000000001</v>
      </c>
      <c r="S228" s="48">
        <v>517363.87800000003</v>
      </c>
      <c r="T228" s="48">
        <v>948770.24699999997</v>
      </c>
      <c r="U228" s="50">
        <v>9646659.9879999999</v>
      </c>
    </row>
    <row r="229" spans="1:152" s="56" customFormat="1">
      <c r="A229" s="44">
        <v>10701</v>
      </c>
      <c r="B229" s="40">
        <v>927537.83600000001</v>
      </c>
      <c r="C229" s="40">
        <v>927537.84200000006</v>
      </c>
      <c r="D229" s="59">
        <v>599701.23400000005</v>
      </c>
      <c r="E229" s="59">
        <v>599701.23400000005</v>
      </c>
      <c r="F229" s="40">
        <v>0</v>
      </c>
      <c r="G229" s="48">
        <v>0</v>
      </c>
      <c r="H229" s="60">
        <v>27538.223999999998</v>
      </c>
      <c r="I229" s="59">
        <v>27538.223999999998</v>
      </c>
      <c r="J229" s="40">
        <v>0</v>
      </c>
      <c r="K229" s="48">
        <v>0</v>
      </c>
      <c r="L229" s="63">
        <v>6137.1559999999999</v>
      </c>
      <c r="M229" s="59">
        <v>6137.1620000000003</v>
      </c>
      <c r="N229" s="67">
        <v>2020</v>
      </c>
      <c r="O229" s="48">
        <v>2020</v>
      </c>
      <c r="P229" s="40">
        <v>0</v>
      </c>
      <c r="Q229" s="48">
        <v>0</v>
      </c>
      <c r="R229" s="48">
        <v>36283.413</v>
      </c>
      <c r="S229" s="48">
        <v>36283.413</v>
      </c>
      <c r="T229" s="48">
        <v>255857.80900000001</v>
      </c>
      <c r="U229" s="50">
        <v>255857.80900000001</v>
      </c>
    </row>
    <row r="230" spans="1:152">
      <c r="A230" s="44">
        <v>10702</v>
      </c>
      <c r="B230" s="40">
        <v>3267993.9670000002</v>
      </c>
      <c r="C230" s="40">
        <v>4195357.3650000002</v>
      </c>
      <c r="D230" s="59">
        <v>1180902.7720000001</v>
      </c>
      <c r="E230" s="59">
        <v>1780604.0060000001</v>
      </c>
      <c r="F230" s="40">
        <v>0</v>
      </c>
      <c r="G230" s="48">
        <v>0</v>
      </c>
      <c r="H230" s="60">
        <v>25642.544000000002</v>
      </c>
      <c r="I230" s="59">
        <v>53180.767999999996</v>
      </c>
      <c r="J230" s="40">
        <v>0</v>
      </c>
      <c r="K230" s="48">
        <v>0</v>
      </c>
      <c r="L230" s="63">
        <v>3526.4180000000001</v>
      </c>
      <c r="M230" s="59">
        <v>9489.1360000000004</v>
      </c>
      <c r="N230" s="67">
        <v>308</v>
      </c>
      <c r="O230" s="48">
        <v>2328</v>
      </c>
      <c r="P230" s="40">
        <v>0</v>
      </c>
      <c r="Q230" s="48">
        <v>0</v>
      </c>
      <c r="R230" s="48">
        <v>22758.828000000001</v>
      </c>
      <c r="S230" s="48">
        <v>59042.241000000002</v>
      </c>
      <c r="T230" s="48">
        <v>2034855.405</v>
      </c>
      <c r="U230" s="50">
        <v>2290713.2140000002</v>
      </c>
    </row>
    <row r="231" spans="1:152" s="56" customFormat="1">
      <c r="A231" s="44">
        <v>10703</v>
      </c>
      <c r="B231" s="40">
        <v>1238649.4019999998</v>
      </c>
      <c r="C231" s="40">
        <v>5434006.7670000009</v>
      </c>
      <c r="D231" s="59">
        <v>519969.00599999999</v>
      </c>
      <c r="E231" s="59">
        <v>2300573.0120000001</v>
      </c>
      <c r="F231" s="40">
        <v>0</v>
      </c>
      <c r="G231" s="48">
        <v>0</v>
      </c>
      <c r="H231" s="60">
        <v>33694.911999999997</v>
      </c>
      <c r="I231" s="59">
        <v>86875.68</v>
      </c>
      <c r="J231" s="40">
        <v>0</v>
      </c>
      <c r="K231" s="48">
        <v>0</v>
      </c>
      <c r="L231" s="63">
        <v>7966.5290000000005</v>
      </c>
      <c r="M231" s="59">
        <v>17455.665000000001</v>
      </c>
      <c r="N231" s="67">
        <v>112</v>
      </c>
      <c r="O231" s="48">
        <v>2440</v>
      </c>
      <c r="P231" s="40">
        <v>0</v>
      </c>
      <c r="Q231" s="48">
        <v>0</v>
      </c>
      <c r="R231" s="48">
        <v>7202.902</v>
      </c>
      <c r="S231" s="48">
        <v>66245.142999999996</v>
      </c>
      <c r="T231" s="48">
        <v>669704.05299999996</v>
      </c>
      <c r="U231" s="50">
        <v>2960417.267</v>
      </c>
    </row>
    <row r="232" spans="1:152">
      <c r="A232" s="44">
        <v>10704</v>
      </c>
      <c r="B232" s="40">
        <v>1916186.6909999999</v>
      </c>
      <c r="C232" s="40">
        <v>7350193.4579999996</v>
      </c>
      <c r="D232" s="59">
        <v>1082899.6410000001</v>
      </c>
      <c r="E232" s="59">
        <v>3383472.6529999999</v>
      </c>
      <c r="F232" s="40">
        <v>0</v>
      </c>
      <c r="G232" s="48">
        <v>0</v>
      </c>
      <c r="H232" s="60">
        <v>35898.086000000003</v>
      </c>
      <c r="I232" s="59">
        <v>122773.766</v>
      </c>
      <c r="J232" s="40">
        <v>0</v>
      </c>
      <c r="K232" s="48">
        <v>0</v>
      </c>
      <c r="L232" s="63">
        <v>5277.4560000000001</v>
      </c>
      <c r="M232" s="59">
        <v>22733.120999999999</v>
      </c>
      <c r="N232" s="67">
        <v>28</v>
      </c>
      <c r="O232" s="48">
        <v>2468</v>
      </c>
      <c r="P232" s="40">
        <v>0</v>
      </c>
      <c r="Q232" s="48">
        <v>0</v>
      </c>
      <c r="R232" s="48">
        <v>5303.16</v>
      </c>
      <c r="S232" s="48">
        <v>71548.303</v>
      </c>
      <c r="T232" s="48">
        <v>786780.348</v>
      </c>
      <c r="U232" s="50">
        <v>3747197.6150000002</v>
      </c>
    </row>
    <row r="233" spans="1:152">
      <c r="A233" s="44">
        <v>10705</v>
      </c>
      <c r="B233" s="40">
        <v>2099948.5660000001</v>
      </c>
      <c r="C233" s="40">
        <v>9450142.0240000002</v>
      </c>
      <c r="D233" s="59">
        <v>918126.03</v>
      </c>
      <c r="E233" s="59">
        <v>4301598.6830000002</v>
      </c>
      <c r="F233" s="40">
        <v>0</v>
      </c>
      <c r="G233" s="48">
        <v>0</v>
      </c>
      <c r="H233" s="60">
        <v>39101.103999999999</v>
      </c>
      <c r="I233" s="59">
        <v>161874.87</v>
      </c>
      <c r="J233" s="40">
        <v>0</v>
      </c>
      <c r="K233" s="48">
        <v>0</v>
      </c>
      <c r="L233" s="63">
        <v>30238.845000000001</v>
      </c>
      <c r="M233" s="59">
        <v>52971.966</v>
      </c>
      <c r="N233" s="67">
        <v>0</v>
      </c>
      <c r="O233" s="48">
        <v>2468</v>
      </c>
      <c r="P233" s="40">
        <v>0</v>
      </c>
      <c r="Q233" s="48">
        <v>0</v>
      </c>
      <c r="R233" s="48">
        <v>19060.863000000001</v>
      </c>
      <c r="S233" s="48">
        <v>90609.165999999997</v>
      </c>
      <c r="T233" s="48">
        <v>1093421.7239999999</v>
      </c>
      <c r="U233" s="50">
        <v>4840619.3389999997</v>
      </c>
    </row>
    <row r="234" spans="1:152" s="56" customFormat="1">
      <c r="A234" s="44">
        <v>10706</v>
      </c>
      <c r="B234" s="40">
        <v>1364473.929</v>
      </c>
      <c r="C234" s="40">
        <v>10814615.953</v>
      </c>
      <c r="D234" s="59">
        <v>603611.29200000002</v>
      </c>
      <c r="E234" s="59">
        <v>4905209.9749999996</v>
      </c>
      <c r="F234" s="40">
        <v>0</v>
      </c>
      <c r="G234" s="48">
        <v>0</v>
      </c>
      <c r="H234" s="60">
        <v>37878.326999999997</v>
      </c>
      <c r="I234" s="59">
        <v>199753.19699999999</v>
      </c>
      <c r="J234" s="40">
        <v>0</v>
      </c>
      <c r="K234" s="48">
        <v>0</v>
      </c>
      <c r="L234" s="63">
        <v>6345.0140000000001</v>
      </c>
      <c r="M234" s="59">
        <v>59316.98</v>
      </c>
      <c r="N234" s="67">
        <v>0</v>
      </c>
      <c r="O234" s="48">
        <v>2468</v>
      </c>
      <c r="P234" s="40">
        <v>0</v>
      </c>
      <c r="Q234" s="48">
        <v>0</v>
      </c>
      <c r="R234" s="48">
        <v>3337.1289999999999</v>
      </c>
      <c r="S234" s="48">
        <v>93946.294999999998</v>
      </c>
      <c r="T234" s="48">
        <v>713302.16700000002</v>
      </c>
      <c r="U234" s="50">
        <v>5553921.5060000001</v>
      </c>
    </row>
    <row r="235" spans="1:152">
      <c r="A235" s="44">
        <v>10707</v>
      </c>
      <c r="B235" s="40">
        <v>1418118.727</v>
      </c>
      <c r="C235" s="40">
        <v>12232734.68</v>
      </c>
      <c r="D235" s="59">
        <v>486152.20600000001</v>
      </c>
      <c r="E235" s="59">
        <v>5391362.1809999999</v>
      </c>
      <c r="F235" s="40">
        <v>0</v>
      </c>
      <c r="G235" s="48">
        <v>0</v>
      </c>
      <c r="H235" s="60">
        <v>36009.796999999999</v>
      </c>
      <c r="I235" s="59">
        <v>235762.99400000001</v>
      </c>
      <c r="J235" s="40">
        <v>0</v>
      </c>
      <c r="K235" s="48">
        <v>0</v>
      </c>
      <c r="L235" s="63">
        <v>13060.796</v>
      </c>
      <c r="M235" s="59">
        <v>72377.775999999998</v>
      </c>
      <c r="N235" s="67">
        <v>352</v>
      </c>
      <c r="O235" s="48">
        <v>2820</v>
      </c>
      <c r="P235" s="40">
        <v>0</v>
      </c>
      <c r="Q235" s="48">
        <v>0</v>
      </c>
      <c r="R235" s="48">
        <v>26045.99</v>
      </c>
      <c r="S235" s="48">
        <v>119992.285</v>
      </c>
      <c r="T235" s="48">
        <v>856497.93799999997</v>
      </c>
      <c r="U235" s="50">
        <v>6410419.4440000001</v>
      </c>
    </row>
    <row r="236" spans="1:152">
      <c r="A236" s="44">
        <v>10708</v>
      </c>
      <c r="B236" s="40">
        <v>1375784.3859999999</v>
      </c>
      <c r="C236" s="40">
        <v>13608519.066</v>
      </c>
      <c r="D236" s="59">
        <v>447503.47499999998</v>
      </c>
      <c r="E236" s="59">
        <v>5838865.6560000004</v>
      </c>
      <c r="F236" s="40">
        <v>0</v>
      </c>
      <c r="G236" s="48">
        <v>0</v>
      </c>
      <c r="H236" s="60">
        <v>34393.828000000001</v>
      </c>
      <c r="I236" s="59">
        <v>270156.82199999999</v>
      </c>
      <c r="J236" s="40">
        <v>0</v>
      </c>
      <c r="K236" s="48">
        <v>0</v>
      </c>
      <c r="L236" s="63">
        <v>5820.0649999999996</v>
      </c>
      <c r="M236" s="59">
        <v>78197.841</v>
      </c>
      <c r="N236" s="67">
        <v>28</v>
      </c>
      <c r="O236" s="48">
        <v>2848</v>
      </c>
      <c r="P236" s="40">
        <v>0</v>
      </c>
      <c r="Q236" s="48">
        <v>0</v>
      </c>
      <c r="R236" s="48">
        <v>48320.356</v>
      </c>
      <c r="S236" s="48">
        <v>168312.641</v>
      </c>
      <c r="T236" s="48">
        <v>839718.66200000001</v>
      </c>
      <c r="U236" s="50">
        <v>7250138.1059999997</v>
      </c>
    </row>
    <row r="237" spans="1:152">
      <c r="A237" s="44">
        <v>10709</v>
      </c>
      <c r="B237" s="40">
        <v>1543740.9</v>
      </c>
      <c r="C237" s="40">
        <v>15152259.9</v>
      </c>
      <c r="D237" s="59">
        <v>484947.7</v>
      </c>
      <c r="E237" s="59">
        <v>6323813.4000000004</v>
      </c>
      <c r="F237" s="40">
        <v>0</v>
      </c>
      <c r="G237" s="48">
        <v>0</v>
      </c>
      <c r="H237" s="60">
        <v>32060.400000000001</v>
      </c>
      <c r="I237" s="59">
        <v>302217.2</v>
      </c>
      <c r="J237" s="40">
        <v>0</v>
      </c>
      <c r="K237" s="48">
        <v>0</v>
      </c>
      <c r="L237" s="63">
        <v>2768.9</v>
      </c>
      <c r="M237" s="59">
        <v>80966.8</v>
      </c>
      <c r="N237" s="67">
        <v>243</v>
      </c>
      <c r="O237" s="48">
        <v>3091</v>
      </c>
      <c r="P237" s="40">
        <v>0</v>
      </c>
      <c r="Q237" s="48">
        <v>0</v>
      </c>
      <c r="R237" s="48">
        <v>308905.2</v>
      </c>
      <c r="S237" s="48">
        <v>477217.8</v>
      </c>
      <c r="T237" s="48">
        <v>714815.6</v>
      </c>
      <c r="U237" s="50">
        <v>7964953.7000000002</v>
      </c>
    </row>
    <row r="238" spans="1:152">
      <c r="A238" s="44">
        <v>10710</v>
      </c>
      <c r="B238" s="40">
        <v>1888424</v>
      </c>
      <c r="C238" s="40">
        <v>17040684</v>
      </c>
      <c r="D238" s="59">
        <v>728098</v>
      </c>
      <c r="E238" s="59">
        <v>7051912</v>
      </c>
      <c r="F238" s="40">
        <v>0</v>
      </c>
      <c r="G238" s="48">
        <v>0</v>
      </c>
      <c r="H238" s="60">
        <f>20205+12460</f>
        <v>32665</v>
      </c>
      <c r="I238" s="59">
        <f>214473+120410</f>
        <v>334883</v>
      </c>
      <c r="J238" s="40">
        <v>0</v>
      </c>
      <c r="K238" s="48">
        <v>0</v>
      </c>
      <c r="L238" s="63">
        <f>2725</f>
        <v>2725</v>
      </c>
      <c r="M238" s="59">
        <f>48789+34903</f>
        <v>83692</v>
      </c>
      <c r="N238" s="67">
        <v>0</v>
      </c>
      <c r="O238" s="48">
        <v>3091</v>
      </c>
      <c r="P238" s="40">
        <v>0</v>
      </c>
      <c r="Q238" s="48">
        <v>0</v>
      </c>
      <c r="R238" s="48">
        <v>107753</v>
      </c>
      <c r="S238" s="48">
        <v>584971</v>
      </c>
      <c r="T238" s="48">
        <v>1017182</v>
      </c>
      <c r="U238" s="50">
        <v>8982136</v>
      </c>
    </row>
    <row r="239" spans="1:152">
      <c r="A239" s="44">
        <v>10711</v>
      </c>
      <c r="B239" s="40">
        <v>1335678.8569999998</v>
      </c>
      <c r="C239" s="40">
        <v>18376362.636999998</v>
      </c>
      <c r="D239" s="59">
        <v>490367.15899999999</v>
      </c>
      <c r="E239" s="59">
        <v>7542278.7369999997</v>
      </c>
      <c r="F239" s="40">
        <v>0</v>
      </c>
      <c r="G239" s="48">
        <v>0</v>
      </c>
      <c r="H239" s="60">
        <v>32857.205999999998</v>
      </c>
      <c r="I239" s="59">
        <v>367739.63199999998</v>
      </c>
      <c r="J239" s="40">
        <v>0</v>
      </c>
      <c r="K239" s="48">
        <v>0</v>
      </c>
      <c r="L239" s="63">
        <v>2820.1469999999999</v>
      </c>
      <c r="M239" s="59">
        <v>86511.823000000004</v>
      </c>
      <c r="N239" s="67">
        <v>0</v>
      </c>
      <c r="O239" s="48">
        <v>3091</v>
      </c>
      <c r="P239" s="40">
        <v>0</v>
      </c>
      <c r="Q239" s="48">
        <v>0</v>
      </c>
      <c r="R239" s="48">
        <v>7289.2079999999996</v>
      </c>
      <c r="S239" s="48">
        <v>592260.38199999998</v>
      </c>
      <c r="T239" s="48">
        <v>802345.13699999999</v>
      </c>
      <c r="U239" s="50">
        <v>9784481.0629999992</v>
      </c>
    </row>
    <row r="240" spans="1:152">
      <c r="A240" s="44">
        <v>10712</v>
      </c>
      <c r="B240" s="40">
        <v>2034668.0719999999</v>
      </c>
      <c r="C240" s="40">
        <v>20411030.708999999</v>
      </c>
      <c r="D240" s="59">
        <v>528745.05599999998</v>
      </c>
      <c r="E240" s="59">
        <v>8071023.7929999996</v>
      </c>
      <c r="F240" s="40">
        <v>0</v>
      </c>
      <c r="G240" s="48">
        <v>0</v>
      </c>
      <c r="H240" s="60">
        <v>39687.239000000001</v>
      </c>
      <c r="I240" s="59">
        <v>407426.87099999998</v>
      </c>
      <c r="J240" s="40">
        <v>0</v>
      </c>
      <c r="K240" s="48">
        <v>0</v>
      </c>
      <c r="L240" s="63">
        <v>10640.123</v>
      </c>
      <c r="M240" s="59">
        <v>97151.945999999996</v>
      </c>
      <c r="N240" s="67">
        <v>31813.621999999999</v>
      </c>
      <c r="O240" s="48">
        <v>34904.622000000003</v>
      </c>
      <c r="P240" s="40">
        <v>0</v>
      </c>
      <c r="Q240" s="48">
        <v>0</v>
      </c>
      <c r="R240" s="48">
        <v>131481.67000000001</v>
      </c>
      <c r="S240" s="48">
        <v>723742.05200000003</v>
      </c>
      <c r="T240" s="48">
        <v>1292300.362</v>
      </c>
      <c r="U240" s="50">
        <v>11076781.425000001</v>
      </c>
    </row>
    <row r="241" spans="1:21">
      <c r="A241" s="44">
        <v>10801</v>
      </c>
      <c r="B241" s="40">
        <v>2931924.0569999996</v>
      </c>
      <c r="C241" s="40">
        <v>2931924.0569999996</v>
      </c>
      <c r="D241" s="59">
        <v>749597.14099999995</v>
      </c>
      <c r="E241" s="59">
        <v>749597.14099999995</v>
      </c>
      <c r="F241" s="40">
        <v>0</v>
      </c>
      <c r="G241" s="48">
        <v>0</v>
      </c>
      <c r="H241" s="60">
        <v>29472.087</v>
      </c>
      <c r="I241" s="59">
        <v>29472.087</v>
      </c>
      <c r="J241" s="40">
        <v>0</v>
      </c>
      <c r="K241" s="48">
        <v>0</v>
      </c>
      <c r="L241" s="63">
        <v>4481.8159999999998</v>
      </c>
      <c r="M241" s="59">
        <v>4481.8159999999998</v>
      </c>
      <c r="N241" s="67">
        <v>1739.03</v>
      </c>
      <c r="O241" s="48">
        <v>1739.03</v>
      </c>
      <c r="P241" s="40">
        <v>0</v>
      </c>
      <c r="Q241" s="48">
        <v>0</v>
      </c>
      <c r="R241" s="48">
        <v>31018.541000000001</v>
      </c>
      <c r="S241" s="48">
        <v>31018.541000000001</v>
      </c>
      <c r="T241" s="48">
        <v>2115615.4419999998</v>
      </c>
      <c r="U241" s="50">
        <v>2115615.4419999998</v>
      </c>
    </row>
    <row r="242" spans="1:21">
      <c r="A242" s="44">
        <v>10802</v>
      </c>
      <c r="B242" s="40">
        <v>937772.22900000005</v>
      </c>
      <c r="C242" s="40">
        <v>3869716.2859999998</v>
      </c>
      <c r="D242" s="59">
        <v>430838.44099999999</v>
      </c>
      <c r="E242" s="59">
        <v>1180435.5819999999</v>
      </c>
      <c r="F242" s="40">
        <v>0</v>
      </c>
      <c r="G242" s="48">
        <v>0</v>
      </c>
      <c r="H242" s="60">
        <v>50400.887000000002</v>
      </c>
      <c r="I242" s="59">
        <v>79872.974000000002</v>
      </c>
      <c r="J242" s="40">
        <v>0</v>
      </c>
      <c r="K242" s="48">
        <v>0</v>
      </c>
      <c r="L242" s="63">
        <v>5454.683</v>
      </c>
      <c r="M242" s="59">
        <v>9936.4989999999998</v>
      </c>
      <c r="N242" s="67">
        <v>24236.947</v>
      </c>
      <c r="O242" s="48">
        <v>25975.976999999999</v>
      </c>
      <c r="P242" s="40">
        <v>0</v>
      </c>
      <c r="Q242" s="48">
        <v>0</v>
      </c>
      <c r="R242" s="48">
        <v>3196.7069999999999</v>
      </c>
      <c r="S242" s="48">
        <v>34215.248</v>
      </c>
      <c r="T242" s="48">
        <v>423644.56400000001</v>
      </c>
      <c r="U242" s="50">
        <v>2539280.0060000001</v>
      </c>
    </row>
    <row r="243" spans="1:21">
      <c r="A243" s="44">
        <v>10803</v>
      </c>
      <c r="B243" s="40">
        <v>1295478.0720000002</v>
      </c>
      <c r="C243" s="40">
        <v>5165194.3579999991</v>
      </c>
      <c r="D243" s="59">
        <v>539443.13899999997</v>
      </c>
      <c r="E243" s="59">
        <v>1719878.7209999999</v>
      </c>
      <c r="F243" s="40">
        <v>0</v>
      </c>
      <c r="G243" s="48">
        <v>0</v>
      </c>
      <c r="H243" s="60">
        <v>36415.546999999999</v>
      </c>
      <c r="I243" s="59">
        <v>116288.52099999999</v>
      </c>
      <c r="J243" s="40">
        <v>0</v>
      </c>
      <c r="K243" s="48">
        <v>0</v>
      </c>
      <c r="L243" s="63">
        <v>2583.252</v>
      </c>
      <c r="M243" s="59">
        <v>12519.751</v>
      </c>
      <c r="N243" s="67">
        <v>112</v>
      </c>
      <c r="O243" s="48">
        <v>26087.976999999999</v>
      </c>
      <c r="P243" s="40">
        <v>0</v>
      </c>
      <c r="Q243" s="48">
        <v>0</v>
      </c>
      <c r="R243" s="48">
        <v>6997.6040000000003</v>
      </c>
      <c r="S243" s="48">
        <v>41212.851999999999</v>
      </c>
      <c r="T243" s="48">
        <v>709926.53</v>
      </c>
      <c r="U243" s="50">
        <v>3249206.5359999998</v>
      </c>
    </row>
    <row r="244" spans="1:21">
      <c r="A244" s="44">
        <v>10804</v>
      </c>
      <c r="B244" s="40">
        <v>1952475.798</v>
      </c>
      <c r="C244" s="40">
        <v>7117670.1560000004</v>
      </c>
      <c r="D244" s="59">
        <v>1044446.387</v>
      </c>
      <c r="E244" s="59">
        <v>2764325.108</v>
      </c>
      <c r="F244" s="40">
        <v>0</v>
      </c>
      <c r="G244" s="48">
        <v>0</v>
      </c>
      <c r="H244" s="60">
        <v>34674.824000000001</v>
      </c>
      <c r="I244" s="59">
        <v>150963.345</v>
      </c>
      <c r="J244" s="40">
        <v>0</v>
      </c>
      <c r="K244" s="48">
        <v>0</v>
      </c>
      <c r="L244" s="63">
        <v>4502.8220000000001</v>
      </c>
      <c r="M244" s="59">
        <v>17022.573</v>
      </c>
      <c r="N244" s="67">
        <v>-0.03</v>
      </c>
      <c r="O244" s="48">
        <v>26087.947</v>
      </c>
      <c r="P244" s="40">
        <v>0</v>
      </c>
      <c r="Q244" s="48">
        <v>0</v>
      </c>
      <c r="R244" s="48">
        <v>18846.244999999999</v>
      </c>
      <c r="S244" s="48">
        <v>60059.097000000002</v>
      </c>
      <c r="T244" s="48">
        <v>850005.55</v>
      </c>
      <c r="U244" s="50">
        <v>4099212.0860000001</v>
      </c>
    </row>
    <row r="245" spans="1:21">
      <c r="A245" s="44">
        <v>10805</v>
      </c>
      <c r="B245" s="40">
        <v>1968775.335</v>
      </c>
      <c r="C245" s="40">
        <v>9090123.2909999993</v>
      </c>
      <c r="D245" s="59">
        <v>973061.951</v>
      </c>
      <c r="E245" s="59">
        <v>3737387.0589999999</v>
      </c>
      <c r="F245" s="40">
        <v>2000</v>
      </c>
      <c r="G245" s="48">
        <v>2000</v>
      </c>
      <c r="H245" s="60">
        <v>13661.775</v>
      </c>
      <c r="I245" s="59">
        <v>168302.92</v>
      </c>
      <c r="J245" s="40">
        <v>0</v>
      </c>
      <c r="K245" s="48">
        <v>0</v>
      </c>
      <c r="L245" s="63">
        <v>3186.3049999999998</v>
      </c>
      <c r="M245" s="59">
        <v>20208.878000000001</v>
      </c>
      <c r="N245" s="67">
        <v>107</v>
      </c>
      <c r="O245" s="48">
        <v>26194.947</v>
      </c>
      <c r="P245" s="40">
        <v>0</v>
      </c>
      <c r="Q245" s="48">
        <v>0</v>
      </c>
      <c r="R245" s="48">
        <v>7594.3469999999998</v>
      </c>
      <c r="S245" s="48">
        <v>67653.444000000003</v>
      </c>
      <c r="T245" s="48">
        <v>969163.95700000005</v>
      </c>
      <c r="U245" s="50">
        <v>5068376.0429999996</v>
      </c>
    </row>
    <row r="246" spans="1:21">
      <c r="A246" s="44">
        <v>10806</v>
      </c>
      <c r="B246" s="40">
        <v>1806283.3169999998</v>
      </c>
      <c r="C246" s="40">
        <v>10896406.607999999</v>
      </c>
      <c r="D246" s="59">
        <v>585429.65099999995</v>
      </c>
      <c r="E246" s="59">
        <v>4322816.71</v>
      </c>
      <c r="F246" s="40">
        <v>0</v>
      </c>
      <c r="G246" s="48">
        <v>2000</v>
      </c>
      <c r="H246" s="60">
        <v>34104.400999999998</v>
      </c>
      <c r="I246" s="59">
        <v>202407.321</v>
      </c>
      <c r="J246" s="40">
        <v>0</v>
      </c>
      <c r="K246" s="48">
        <v>0</v>
      </c>
      <c r="L246" s="63">
        <v>6444.9229999999998</v>
      </c>
      <c r="M246" s="59">
        <v>26653.800999999999</v>
      </c>
      <c r="N246" s="67">
        <v>0</v>
      </c>
      <c r="O246" s="48">
        <v>26194.947</v>
      </c>
      <c r="P246" s="40">
        <v>0</v>
      </c>
      <c r="Q246" s="48">
        <v>0</v>
      </c>
      <c r="R246" s="48">
        <v>4662.5290000000005</v>
      </c>
      <c r="S246" s="48">
        <v>72315.972999999998</v>
      </c>
      <c r="T246" s="48">
        <v>1175641.8130000001</v>
      </c>
      <c r="U246" s="50">
        <v>6244017.8559999997</v>
      </c>
    </row>
    <row r="247" spans="1:21">
      <c r="A247" s="44">
        <v>10807</v>
      </c>
      <c r="B247" s="40">
        <v>1689163.6159999999</v>
      </c>
      <c r="C247" s="40">
        <v>12585570.223999999</v>
      </c>
      <c r="D247" s="59">
        <v>471717.91</v>
      </c>
      <c r="E247" s="59">
        <v>4794534.62</v>
      </c>
      <c r="F247" s="40">
        <v>0</v>
      </c>
      <c r="G247" s="48">
        <v>2000</v>
      </c>
      <c r="H247" s="60">
        <v>45077.563999999998</v>
      </c>
      <c r="I247" s="59">
        <v>247484.88500000001</v>
      </c>
      <c r="J247" s="40">
        <v>0</v>
      </c>
      <c r="K247" s="48">
        <v>0</v>
      </c>
      <c r="L247" s="63">
        <v>15551.995000000001</v>
      </c>
      <c r="M247" s="59">
        <v>42205.796000000002</v>
      </c>
      <c r="N247" s="67">
        <v>409</v>
      </c>
      <c r="O247" s="48">
        <v>26603.947</v>
      </c>
      <c r="P247" s="40">
        <v>0</v>
      </c>
      <c r="Q247" s="48">
        <v>0</v>
      </c>
      <c r="R247" s="48">
        <v>29215.042000000001</v>
      </c>
      <c r="S247" s="48">
        <v>101531.015</v>
      </c>
      <c r="T247" s="48">
        <v>1127192.105</v>
      </c>
      <c r="U247" s="50">
        <v>7371209.9610000001</v>
      </c>
    </row>
    <row r="248" spans="1:21">
      <c r="A248" s="44">
        <v>10808</v>
      </c>
      <c r="B248" s="40">
        <v>1395979.4669999999</v>
      </c>
      <c r="C248" s="40">
        <v>13981549.691</v>
      </c>
      <c r="D248" s="59">
        <v>429175.48800000001</v>
      </c>
      <c r="E248" s="59">
        <v>5223710.108</v>
      </c>
      <c r="F248" s="40">
        <v>0</v>
      </c>
      <c r="G248" s="48">
        <v>2000</v>
      </c>
      <c r="H248" s="60">
        <v>78504.603000000003</v>
      </c>
      <c r="I248" s="59">
        <v>325989.48800000001</v>
      </c>
      <c r="J248" s="40">
        <v>0</v>
      </c>
      <c r="K248" s="48">
        <v>0</v>
      </c>
      <c r="L248" s="63">
        <v>6864.2240000000002</v>
      </c>
      <c r="M248" s="59">
        <v>49070.02</v>
      </c>
      <c r="N248" s="67">
        <v>286.23700000000002</v>
      </c>
      <c r="O248" s="48">
        <v>26890.184000000001</v>
      </c>
      <c r="P248" s="40">
        <v>0</v>
      </c>
      <c r="Q248" s="48">
        <v>0</v>
      </c>
      <c r="R248" s="48">
        <v>34252.364000000001</v>
      </c>
      <c r="S248" s="48">
        <v>135783.37899999999</v>
      </c>
      <c r="T248" s="48">
        <v>846896.55099999998</v>
      </c>
      <c r="U248" s="50">
        <v>8218106.5120000001</v>
      </c>
    </row>
    <row r="249" spans="1:21">
      <c r="A249" s="44">
        <v>10809</v>
      </c>
      <c r="B249" s="40">
        <v>1015663.2370000001</v>
      </c>
      <c r="C249" s="40">
        <v>14997212.927999999</v>
      </c>
      <c r="D249" s="59">
        <v>97851.796000000002</v>
      </c>
      <c r="E249" s="59">
        <v>5321561.9040000001</v>
      </c>
      <c r="F249" s="40">
        <v>0</v>
      </c>
      <c r="G249" s="48">
        <v>2000</v>
      </c>
      <c r="H249" s="60">
        <v>30401.319</v>
      </c>
      <c r="I249" s="59">
        <v>356390.80699999997</v>
      </c>
      <c r="J249" s="40">
        <v>0</v>
      </c>
      <c r="K249" s="48">
        <v>0</v>
      </c>
      <c r="L249" s="63">
        <v>5854.0879999999997</v>
      </c>
      <c r="M249" s="59">
        <v>54924.108</v>
      </c>
      <c r="N249" s="67">
        <v>173</v>
      </c>
      <c r="O249" s="48">
        <v>27063.184000000001</v>
      </c>
      <c r="P249" s="40">
        <v>0</v>
      </c>
      <c r="Q249" s="48">
        <v>0</v>
      </c>
      <c r="R249" s="48">
        <v>7843.31</v>
      </c>
      <c r="S249" s="48">
        <v>143626.68900000001</v>
      </c>
      <c r="T249" s="48">
        <v>873539.72400000005</v>
      </c>
      <c r="U249" s="50">
        <v>9091646.2359999996</v>
      </c>
    </row>
    <row r="250" spans="1:21">
      <c r="A250" s="44">
        <v>10810</v>
      </c>
      <c r="B250" s="40">
        <v>2334207.2910000002</v>
      </c>
      <c r="C250" s="40">
        <v>17331420.219000001</v>
      </c>
      <c r="D250" s="59">
        <v>1241026.6270000001</v>
      </c>
      <c r="E250" s="59">
        <v>6562588.5310000004</v>
      </c>
      <c r="F250" s="40">
        <v>0</v>
      </c>
      <c r="G250" s="48">
        <v>2000</v>
      </c>
      <c r="H250" s="60">
        <v>34884.396999999997</v>
      </c>
      <c r="I250" s="59">
        <v>391275.20400000003</v>
      </c>
      <c r="J250" s="40">
        <v>0</v>
      </c>
      <c r="K250" s="48">
        <v>0</v>
      </c>
      <c r="L250" s="63">
        <v>8817.6229999999996</v>
      </c>
      <c r="M250" s="59">
        <v>63741.731</v>
      </c>
      <c r="N250" s="67">
        <v>-10990.947</v>
      </c>
      <c r="O250" s="48">
        <v>16072.236999999999</v>
      </c>
      <c r="P250" s="40">
        <v>0</v>
      </c>
      <c r="Q250" s="48">
        <v>0</v>
      </c>
      <c r="R250" s="48">
        <v>30749.41</v>
      </c>
      <c r="S250" s="48">
        <v>174376.09899999999</v>
      </c>
      <c r="T250" s="48">
        <v>1029720.181</v>
      </c>
      <c r="U250" s="50">
        <v>10121366.416999999</v>
      </c>
    </row>
    <row r="251" spans="1:21" ht="17.25" thickBot="1">
      <c r="A251" s="51">
        <v>10811</v>
      </c>
      <c r="B251" s="52">
        <v>1411422.08</v>
      </c>
      <c r="C251" s="52">
        <v>18742842.298999999</v>
      </c>
      <c r="D251" s="58">
        <v>522097.80800000002</v>
      </c>
      <c r="E251" s="58">
        <v>7084686.3389999997</v>
      </c>
      <c r="F251" s="52">
        <v>0</v>
      </c>
      <c r="G251" s="53">
        <v>2000</v>
      </c>
      <c r="H251" s="57">
        <v>29110.266</v>
      </c>
      <c r="I251" s="58">
        <v>420385.47</v>
      </c>
      <c r="J251" s="52">
        <v>0</v>
      </c>
      <c r="K251" s="53">
        <v>0</v>
      </c>
      <c r="L251" s="66">
        <v>963.58799999999997</v>
      </c>
      <c r="M251" s="58">
        <v>64705.319000000003</v>
      </c>
      <c r="N251" s="68">
        <v>-12699</v>
      </c>
      <c r="O251" s="53">
        <v>3373.2370000000001</v>
      </c>
      <c r="P251" s="52">
        <v>0</v>
      </c>
      <c r="Q251" s="53">
        <v>0</v>
      </c>
      <c r="R251" s="53">
        <v>12330.503000000001</v>
      </c>
      <c r="S251" s="53">
        <v>186706.60200000001</v>
      </c>
      <c r="T251" s="53">
        <v>859618.91500000004</v>
      </c>
      <c r="U251" s="54">
        <v>10980985.332</v>
      </c>
    </row>
  </sheetData>
  <mergeCells count="34">
    <mergeCell ref="R5:R6"/>
    <mergeCell ref="S5:S6"/>
    <mergeCell ref="T5:T6"/>
    <mergeCell ref="U5:U6"/>
    <mergeCell ref="L5:L6"/>
    <mergeCell ref="M5:M6"/>
    <mergeCell ref="N5:N6"/>
    <mergeCell ref="O5:O6"/>
    <mergeCell ref="H3:I4"/>
    <mergeCell ref="T3:U4"/>
    <mergeCell ref="V3:W4"/>
    <mergeCell ref="P5:P6"/>
    <mergeCell ref="Q5:Q6"/>
    <mergeCell ref="H5:H6"/>
    <mergeCell ref="I5:I6"/>
    <mergeCell ref="L3:M4"/>
    <mergeCell ref="N3:O4"/>
    <mergeCell ref="R3:S4"/>
    <mergeCell ref="J3:K4"/>
    <mergeCell ref="P3:Q4"/>
    <mergeCell ref="J5:J6"/>
    <mergeCell ref="K5:K6"/>
    <mergeCell ref="V5:V6"/>
    <mergeCell ref="W5:W6"/>
    <mergeCell ref="A3:A6"/>
    <mergeCell ref="B3:C4"/>
    <mergeCell ref="D3:E4"/>
    <mergeCell ref="F3:G4"/>
    <mergeCell ref="F5:F6"/>
    <mergeCell ref="G5:G6"/>
    <mergeCell ref="B5:B6"/>
    <mergeCell ref="C5:C6"/>
    <mergeCell ref="D5:D6"/>
    <mergeCell ref="E5:E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74" orientation="landscape" horizontalDpi="4294967292" verticalDpi="300" r:id="rId1"/>
  <headerFooter alignWithMargins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 3歲入實收數</vt:lpstr>
      <vt:lpstr>' 3歲入實收數'!Print_Area</vt:lpstr>
      <vt:lpstr>' 3歲入實收數'!Print_Titles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</dc:creator>
  <cp:lastModifiedBy>陳大倫</cp:lastModifiedBy>
  <dcterms:created xsi:type="dcterms:W3CDTF">2011-10-21T01:14:56Z</dcterms:created>
  <dcterms:modified xsi:type="dcterms:W3CDTF">2019-12-31T02:40:13Z</dcterms:modified>
</cp:coreProperties>
</file>