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2\"/>
    </mc:Choice>
  </mc:AlternateContent>
  <xr:revisionPtr revIDLastSave="0" documentId="13_ncr:1_{75BBB130-E5AF-425B-9B4D-D44B8D1DC792}" xr6:coauthVersionLast="36" xr6:coauthVersionMax="36" xr10:uidLastSave="{00000000-0000-0000-0000-000000000000}"/>
  <bookViews>
    <workbookView xWindow="32760" yWindow="4515" windowWidth="14955" windowHeight="4200" xr2:uid="{00000000-000D-0000-FFFF-FFFF00000000}"/>
  </bookViews>
  <sheets>
    <sheet name=" 4歲出實付數" sheetId="4" r:id="rId1"/>
  </sheets>
  <definedNames>
    <definedName name="_xlnm.Print_Titles" localSheetId="0">' 4歲出實付數'!$1:$6</definedName>
  </definedNames>
  <calcPr calcId="191029"/>
</workbook>
</file>

<file path=xl/calcChain.xml><?xml version="1.0" encoding="utf-8"?>
<calcChain xmlns="http://schemas.openxmlformats.org/spreadsheetml/2006/main">
  <c r="Q254" i="4" l="1"/>
  <c r="P254" i="4"/>
  <c r="Q253" i="4" l="1"/>
  <c r="P253" i="4"/>
  <c r="Q252" i="4" l="1"/>
  <c r="P252" i="4"/>
  <c r="Q251" i="4" l="1"/>
  <c r="P251" i="4"/>
  <c r="Q250" i="4" l="1"/>
  <c r="P250" i="4"/>
  <c r="Q249" i="4" l="1"/>
  <c r="P249" i="4"/>
  <c r="Q248" i="4" l="1"/>
  <c r="P248" i="4"/>
  <c r="Q247" i="4" l="1"/>
  <c r="P247" i="4"/>
  <c r="Q246" i="4"/>
  <c r="P246" i="4"/>
  <c r="Q245" i="4"/>
  <c r="P245" i="4"/>
  <c r="Q244" i="4"/>
  <c r="P244" i="4"/>
  <c r="Q243" i="4"/>
  <c r="P243" i="4"/>
  <c r="Q242" i="4"/>
  <c r="P242" i="4"/>
  <c r="Q241" i="4"/>
  <c r="P241" i="4"/>
  <c r="Q240" i="4"/>
  <c r="P240" i="4"/>
  <c r="Q239" i="4"/>
  <c r="P239" i="4"/>
  <c r="Q238" i="4"/>
  <c r="P238" i="4"/>
  <c r="Q237" i="4"/>
  <c r="P237" i="4"/>
  <c r="Q236" i="4"/>
  <c r="P236" i="4"/>
  <c r="Q235" i="4"/>
  <c r="P235" i="4"/>
  <c r="Q234" i="4"/>
  <c r="P234" i="4"/>
  <c r="Q233" i="4"/>
  <c r="P233" i="4"/>
  <c r="Q232" i="4"/>
  <c r="P232" i="4"/>
  <c r="Q231" i="4"/>
  <c r="P231" i="4"/>
  <c r="Q230" i="4"/>
  <c r="P230" i="4"/>
  <c r="Q229" i="4"/>
  <c r="P229" i="4"/>
  <c r="Q228" i="4"/>
  <c r="P228" i="4"/>
  <c r="Q227" i="4"/>
  <c r="P227" i="4"/>
  <c r="Q226" i="4"/>
  <c r="P226" i="4"/>
  <c r="Q225" i="4"/>
  <c r="P225" i="4"/>
  <c r="Q223" i="4"/>
  <c r="P223" i="4"/>
  <c r="Q222" i="4"/>
  <c r="P222" i="4"/>
  <c r="C214" i="4"/>
  <c r="B214" i="4"/>
  <c r="B213" i="4"/>
  <c r="C213" i="4"/>
  <c r="B212" i="4"/>
  <c r="C212" i="4"/>
  <c r="B211" i="4"/>
  <c r="C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B203" i="4"/>
  <c r="C203" i="4"/>
  <c r="B204" i="4"/>
  <c r="C204" i="4"/>
  <c r="C202" i="4"/>
  <c r="B202" i="4"/>
  <c r="S178" i="4"/>
  <c r="S179" i="4"/>
  <c r="S180" i="4" s="1"/>
  <c r="Q177" i="4"/>
  <c r="Q178" i="4" s="1"/>
  <c r="Q179" i="4" s="1"/>
  <c r="Q180" i="4" s="1"/>
  <c r="O178" i="4"/>
  <c r="O179" i="4" s="1"/>
  <c r="O180" i="4" s="1"/>
  <c r="M178" i="4"/>
  <c r="M179" i="4"/>
  <c r="M180" i="4" s="1"/>
  <c r="K178" i="4"/>
  <c r="K179" i="4" s="1"/>
  <c r="K180" i="4" s="1"/>
  <c r="I178" i="4"/>
  <c r="I179" i="4"/>
  <c r="I180" i="4" s="1"/>
  <c r="G178" i="4"/>
  <c r="G179" i="4" s="1"/>
  <c r="G180" i="4" s="1"/>
  <c r="E178" i="4"/>
  <c r="E179" i="4"/>
  <c r="E180" i="4" s="1"/>
  <c r="C178" i="4"/>
  <c r="C179" i="4" s="1"/>
  <c r="C180" i="4" s="1"/>
  <c r="P177" i="4"/>
  <c r="Q176" i="4"/>
  <c r="P176" i="4"/>
  <c r="Q175" i="4"/>
  <c r="P175" i="4"/>
  <c r="O174" i="4"/>
  <c r="O175" i="4" s="1"/>
  <c r="K174" i="4"/>
  <c r="K175" i="4" s="1"/>
  <c r="E169" i="4"/>
  <c r="E170" i="4" s="1"/>
  <c r="E171" i="4" s="1"/>
  <c r="E172" i="4" s="1"/>
  <c r="E173" i="4" s="1"/>
  <c r="E174" i="4" s="1"/>
  <c r="E175" i="4" s="1"/>
  <c r="P174" i="4"/>
  <c r="P173" i="4"/>
  <c r="Q173" i="4" s="1"/>
  <c r="Q174" i="4" s="1"/>
  <c r="P172" i="4"/>
  <c r="P171" i="4"/>
  <c r="Q171" i="4" s="1"/>
  <c r="Q172" i="4" s="1"/>
  <c r="Q170" i="4"/>
  <c r="S169" i="4"/>
  <c r="S170" i="4" s="1"/>
  <c r="S171" i="4" s="1"/>
  <c r="S172" i="4" s="1"/>
  <c r="S173" i="4" s="1"/>
  <c r="O169" i="4"/>
  <c r="O170" i="4"/>
  <c r="O171" i="4" s="1"/>
  <c r="O172" i="4" s="1"/>
  <c r="M169" i="4"/>
  <c r="M170" i="4"/>
  <c r="M171" i="4" s="1"/>
  <c r="M172" i="4" s="1"/>
  <c r="M173" i="4" s="1"/>
  <c r="M174" i="4" s="1"/>
  <c r="K169" i="4"/>
  <c r="K170" i="4"/>
  <c r="K171" i="4" s="1"/>
  <c r="K172" i="4" s="1"/>
  <c r="I169" i="4"/>
  <c r="I170" i="4"/>
  <c r="I171" i="4" s="1"/>
  <c r="I172" i="4" s="1"/>
  <c r="I173" i="4" s="1"/>
  <c r="I174" i="4" s="1"/>
  <c r="G169" i="4"/>
  <c r="G170" i="4"/>
  <c r="G171" i="4" s="1"/>
  <c r="G172" i="4" s="1"/>
  <c r="G173" i="4" s="1"/>
  <c r="C169" i="4"/>
  <c r="C170" i="4" s="1"/>
  <c r="C171" i="4" s="1"/>
  <c r="C172" i="4" s="1"/>
  <c r="C173" i="4" s="1"/>
  <c r="C174" i="4" s="1"/>
  <c r="P170" i="4"/>
  <c r="P169" i="4"/>
  <c r="Q169" i="4"/>
  <c r="Q168" i="4"/>
  <c r="P168" i="4"/>
  <c r="S167" i="4"/>
  <c r="S168" i="4"/>
  <c r="M167" i="4"/>
  <c r="M168" i="4"/>
  <c r="K167" i="4"/>
  <c r="K168" i="4"/>
  <c r="I167" i="4"/>
  <c r="I168" i="4"/>
  <c r="G167" i="4"/>
  <c r="G168" i="4"/>
  <c r="E167" i="4"/>
  <c r="E168" i="4"/>
  <c r="Q167" i="4"/>
  <c r="Q166" i="4"/>
  <c r="P167" i="4"/>
  <c r="O167" i="4"/>
  <c r="C167" i="4"/>
  <c r="P166" i="4"/>
  <c r="B7" i="4"/>
  <c r="C7" i="4"/>
  <c r="B8" i="4"/>
  <c r="E8" i="4"/>
  <c r="C8" i="4" s="1"/>
  <c r="G8" i="4"/>
  <c r="I8" i="4"/>
  <c r="K8" i="4"/>
  <c r="M8" i="4"/>
  <c r="O8" i="4"/>
  <c r="Q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D122" i="4"/>
  <c r="B122" i="4" s="1"/>
  <c r="F122" i="4"/>
  <c r="H122" i="4"/>
  <c r="J122" i="4"/>
  <c r="L122" i="4"/>
  <c r="N122" i="4"/>
  <c r="P122" i="4"/>
  <c r="R122" i="4"/>
  <c r="E122" i="4"/>
  <c r="G122" i="4"/>
  <c r="C122" i="4" s="1"/>
  <c r="I122" i="4"/>
  <c r="K122" i="4"/>
  <c r="M122" i="4"/>
  <c r="O122" i="4"/>
  <c r="Q122" i="4"/>
  <c r="S122" i="4"/>
  <c r="D123" i="4"/>
  <c r="B123" i="4" s="1"/>
  <c r="F123" i="4"/>
  <c r="H123" i="4"/>
  <c r="J123" i="4"/>
  <c r="L123" i="4"/>
  <c r="N123" i="4"/>
  <c r="P123" i="4"/>
  <c r="R123" i="4"/>
  <c r="E123" i="4"/>
  <c r="C123" i="4" s="1"/>
  <c r="G123" i="4"/>
  <c r="I123" i="4"/>
  <c r="K123" i="4"/>
  <c r="M123" i="4"/>
  <c r="O123" i="4"/>
  <c r="Q123" i="4"/>
  <c r="S123" i="4"/>
  <c r="D124" i="4"/>
  <c r="F124" i="4"/>
  <c r="B124" i="4" s="1"/>
  <c r="H124" i="4"/>
  <c r="J124" i="4"/>
  <c r="L124" i="4"/>
  <c r="N124" i="4"/>
  <c r="P124" i="4"/>
  <c r="R124" i="4"/>
  <c r="E124" i="4"/>
  <c r="C124" i="4" s="1"/>
  <c r="G124" i="4"/>
  <c r="I124" i="4"/>
  <c r="K124" i="4"/>
  <c r="M124" i="4"/>
  <c r="O124" i="4"/>
  <c r="Q124" i="4"/>
  <c r="S124" i="4"/>
  <c r="D125" i="4"/>
  <c r="B125" i="4" s="1"/>
  <c r="F125" i="4"/>
  <c r="H125" i="4"/>
  <c r="J125" i="4"/>
  <c r="L125" i="4"/>
  <c r="N125" i="4"/>
  <c r="P125" i="4"/>
  <c r="R125" i="4"/>
  <c r="E125" i="4"/>
  <c r="C125" i="4" s="1"/>
  <c r="G125" i="4"/>
  <c r="I125" i="4"/>
  <c r="K125" i="4"/>
  <c r="M125" i="4"/>
  <c r="O125" i="4"/>
  <c r="Q125" i="4"/>
  <c r="S125" i="4"/>
  <c r="D126" i="4"/>
  <c r="F126" i="4"/>
  <c r="B126" i="4" s="1"/>
  <c r="H126" i="4"/>
  <c r="J126" i="4"/>
  <c r="L126" i="4"/>
  <c r="N126" i="4"/>
  <c r="P126" i="4"/>
  <c r="R126" i="4"/>
  <c r="E126" i="4"/>
  <c r="G126" i="4"/>
  <c r="C126" i="4" s="1"/>
  <c r="I126" i="4"/>
  <c r="K126" i="4"/>
  <c r="M126" i="4"/>
  <c r="O126" i="4"/>
  <c r="Q126" i="4"/>
  <c r="S126" i="4"/>
  <c r="D127" i="4"/>
  <c r="B127" i="4" s="1"/>
  <c r="F127" i="4"/>
  <c r="H127" i="4"/>
  <c r="J127" i="4"/>
  <c r="L127" i="4"/>
  <c r="N127" i="4"/>
  <c r="P127" i="4"/>
  <c r="R127" i="4"/>
  <c r="E127" i="4"/>
  <c r="C127" i="4" s="1"/>
  <c r="G127" i="4"/>
  <c r="I127" i="4"/>
  <c r="K127" i="4"/>
  <c r="M127" i="4"/>
  <c r="O127" i="4"/>
  <c r="Q127" i="4"/>
  <c r="S127" i="4"/>
  <c r="D128" i="4"/>
  <c r="B128" i="4" s="1"/>
  <c r="F128" i="4"/>
  <c r="H128" i="4"/>
  <c r="J128" i="4"/>
  <c r="L128" i="4"/>
  <c r="N128" i="4"/>
  <c r="P128" i="4"/>
  <c r="R128" i="4"/>
  <c r="E128" i="4"/>
  <c r="G128" i="4"/>
  <c r="C128" i="4" s="1"/>
  <c r="I128" i="4"/>
  <c r="K128" i="4"/>
  <c r="M128" i="4"/>
  <c r="O128" i="4"/>
  <c r="Q128" i="4"/>
  <c r="S128" i="4"/>
  <c r="D129" i="4"/>
  <c r="B129" i="4" s="1"/>
  <c r="F129" i="4"/>
  <c r="H129" i="4"/>
  <c r="J129" i="4"/>
  <c r="L129" i="4"/>
  <c r="N129" i="4"/>
  <c r="P129" i="4"/>
  <c r="R129" i="4"/>
  <c r="E129" i="4"/>
  <c r="G129" i="4"/>
  <c r="I129" i="4"/>
  <c r="C129" i="4" s="1"/>
  <c r="K129" i="4"/>
  <c r="M129" i="4"/>
  <c r="O129" i="4"/>
  <c r="Q129" i="4"/>
  <c r="S129" i="4"/>
  <c r="D130" i="4"/>
  <c r="B130" i="4" s="1"/>
  <c r="F130" i="4"/>
  <c r="H130" i="4"/>
  <c r="J130" i="4"/>
  <c r="L130" i="4"/>
  <c r="N130" i="4"/>
  <c r="P130" i="4"/>
  <c r="R130" i="4"/>
  <c r="E130" i="4"/>
  <c r="G130" i="4"/>
  <c r="C130" i="4" s="1"/>
  <c r="I130" i="4"/>
  <c r="K130" i="4"/>
  <c r="M130" i="4"/>
  <c r="O130" i="4"/>
  <c r="Q130" i="4"/>
  <c r="S130" i="4"/>
  <c r="D131" i="4"/>
  <c r="B131" i="4" s="1"/>
  <c r="F131" i="4"/>
  <c r="H131" i="4"/>
  <c r="J131" i="4"/>
  <c r="L131" i="4"/>
  <c r="N131" i="4"/>
  <c r="P131" i="4"/>
  <c r="R131" i="4"/>
  <c r="E131" i="4"/>
  <c r="G131" i="4"/>
  <c r="I131" i="4"/>
  <c r="C131" i="4" s="1"/>
  <c r="K131" i="4"/>
  <c r="M131" i="4"/>
  <c r="O131" i="4"/>
  <c r="Q131" i="4"/>
  <c r="S131" i="4"/>
  <c r="D132" i="4"/>
  <c r="B132" i="4" s="1"/>
  <c r="F132" i="4"/>
  <c r="H132" i="4"/>
  <c r="J132" i="4"/>
  <c r="L132" i="4"/>
  <c r="N132" i="4"/>
  <c r="P132" i="4"/>
  <c r="R132" i="4"/>
  <c r="E132" i="4"/>
  <c r="G132" i="4"/>
  <c r="C132" i="4" s="1"/>
  <c r="I132" i="4"/>
  <c r="K132" i="4"/>
  <c r="M132" i="4"/>
  <c r="O132" i="4"/>
  <c r="Q132" i="4"/>
  <c r="S132" i="4"/>
  <c r="B133" i="4"/>
  <c r="C133" i="4"/>
  <c r="D134" i="4"/>
  <c r="B134" i="4" s="1"/>
  <c r="F134" i="4"/>
  <c r="H134" i="4"/>
  <c r="J134" i="4"/>
  <c r="L134" i="4"/>
  <c r="N134" i="4"/>
  <c r="P134" i="4"/>
  <c r="R134" i="4"/>
  <c r="E134" i="4"/>
  <c r="G134" i="4"/>
  <c r="C134" i="4" s="1"/>
  <c r="I134" i="4"/>
  <c r="K134" i="4"/>
  <c r="M134" i="4"/>
  <c r="O134" i="4"/>
  <c r="Q134" i="4"/>
  <c r="S134" i="4"/>
  <c r="B135" i="4"/>
  <c r="C135" i="4"/>
  <c r="B136" i="4"/>
  <c r="C136" i="4"/>
  <c r="B137" i="4"/>
  <c r="C137" i="4"/>
  <c r="C138" i="4"/>
  <c r="C139" i="4"/>
  <c r="B140" i="4"/>
  <c r="C140" i="4"/>
  <c r="B141" i="4"/>
  <c r="C141" i="4"/>
  <c r="D142" i="4"/>
  <c r="B142" i="4" s="1"/>
  <c r="F142" i="4"/>
  <c r="G142" i="4" s="1"/>
  <c r="H142" i="4"/>
  <c r="I142" i="4"/>
  <c r="I143" i="4" s="1"/>
  <c r="I144" i="4" s="1"/>
  <c r="J142" i="4"/>
  <c r="L142" i="4"/>
  <c r="N142" i="4"/>
  <c r="O142" i="4" s="1"/>
  <c r="O143" i="4" s="1"/>
  <c r="O144" i="4" s="1"/>
  <c r="P142" i="4"/>
  <c r="R142" i="4"/>
  <c r="S142" i="4" s="1"/>
  <c r="E142" i="4"/>
  <c r="K142" i="4"/>
  <c r="K143" i="4" s="1"/>
  <c r="K144" i="4" s="1"/>
  <c r="M142" i="4"/>
  <c r="M143" i="4" s="1"/>
  <c r="M144" i="4" s="1"/>
  <c r="Q142" i="4"/>
  <c r="Q143" i="4"/>
  <c r="Q144" i="4" s="1"/>
  <c r="B143" i="4"/>
  <c r="B144" i="4"/>
  <c r="S144" i="4"/>
  <c r="P145" i="4"/>
  <c r="B145" i="4"/>
  <c r="Q145" i="4"/>
  <c r="C145" i="4"/>
  <c r="P146" i="4"/>
  <c r="Q146" i="4" s="1"/>
  <c r="E146" i="4"/>
  <c r="C146" i="4" s="1"/>
  <c r="G146" i="4"/>
  <c r="I146" i="4"/>
  <c r="K146" i="4"/>
  <c r="M146" i="4"/>
  <c r="O146" i="4"/>
  <c r="S146" i="4"/>
  <c r="B147" i="4"/>
  <c r="C147" i="4"/>
  <c r="B148" i="4"/>
  <c r="C148" i="4"/>
  <c r="L149" i="4"/>
  <c r="B149" i="4" s="1"/>
  <c r="P149" i="4"/>
  <c r="Q149" i="4" s="1"/>
  <c r="Q150" i="4" s="1"/>
  <c r="Q151" i="4" s="1"/>
  <c r="Q152" i="4" s="1"/>
  <c r="Q153" i="4" s="1"/>
  <c r="E149" i="4"/>
  <c r="E150" i="4" s="1"/>
  <c r="G149" i="4"/>
  <c r="G150" i="4" s="1"/>
  <c r="G151" i="4" s="1"/>
  <c r="G152" i="4" s="1"/>
  <c r="G153" i="4" s="1"/>
  <c r="I149" i="4"/>
  <c r="K149" i="4"/>
  <c r="K150" i="4" s="1"/>
  <c r="K151" i="4" s="1"/>
  <c r="K152" i="4" s="1"/>
  <c r="K153" i="4" s="1"/>
  <c r="O149" i="4"/>
  <c r="O150" i="4"/>
  <c r="O151" i="4" s="1"/>
  <c r="O152" i="4" s="1"/>
  <c r="O153" i="4" s="1"/>
  <c r="S149" i="4"/>
  <c r="S150" i="4" s="1"/>
  <c r="S151" i="4" s="1"/>
  <c r="S152" i="4" s="1"/>
  <c r="S153" i="4" s="1"/>
  <c r="B150" i="4"/>
  <c r="I150" i="4"/>
  <c r="I151" i="4" s="1"/>
  <c r="I152" i="4" s="1"/>
  <c r="I153" i="4" s="1"/>
  <c r="P151" i="4"/>
  <c r="B151" i="4" s="1"/>
  <c r="B152" i="4"/>
  <c r="B153" i="4"/>
  <c r="E143" i="4"/>
  <c r="E144" i="4" s="1"/>
  <c r="E151" i="4" l="1"/>
  <c r="G143" i="4"/>
  <c r="C142" i="4"/>
  <c r="B146" i="4"/>
  <c r="M149" i="4"/>
  <c r="M150" i="4" s="1"/>
  <c r="M151" i="4" s="1"/>
  <c r="M152" i="4" s="1"/>
  <c r="M153" i="4" s="1"/>
  <c r="C151" i="4" l="1"/>
  <c r="E152" i="4"/>
  <c r="C143" i="4"/>
  <c r="G144" i="4"/>
  <c r="C144" i="4" s="1"/>
  <c r="C149" i="4"/>
  <c r="C150" i="4"/>
  <c r="E153" i="4" l="1"/>
  <c r="C153" i="4" s="1"/>
  <c r="C152" i="4"/>
</calcChain>
</file>

<file path=xl/sharedStrings.xml><?xml version="1.0" encoding="utf-8"?>
<sst xmlns="http://schemas.openxmlformats.org/spreadsheetml/2006/main" count="30" uniqueCount="17">
  <si>
    <t>四、歲出實付數</t>
    <phoneticPr fontId="4" type="noConversion"/>
  </si>
  <si>
    <t>單位：千元</t>
    <phoneticPr fontId="4" type="noConversion"/>
  </si>
  <si>
    <t>年月別</t>
    <phoneticPr fontId="4" type="noConversion"/>
  </si>
  <si>
    <t>總　　計</t>
    <phoneticPr fontId="4" type="noConversion"/>
  </si>
  <si>
    <t>一般政務支出</t>
    <phoneticPr fontId="4" type="noConversion"/>
  </si>
  <si>
    <t>經濟發展支出</t>
    <phoneticPr fontId="4" type="noConversion"/>
  </si>
  <si>
    <t>警政支出</t>
    <phoneticPr fontId="4" type="noConversion"/>
  </si>
  <si>
    <t>社會福利支出</t>
    <phoneticPr fontId="4" type="noConversion"/>
  </si>
  <si>
    <r>
      <t xml:space="preserve"> </t>
    </r>
    <r>
      <rPr>
        <sz val="11"/>
        <rFont val="標楷體"/>
        <family val="4"/>
        <charset val="136"/>
      </rPr>
      <t>社區發展及環境保護支出</t>
    </r>
    <phoneticPr fontId="4" type="noConversion"/>
  </si>
  <si>
    <t>債務支出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</si>
  <si>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</si>
  <si>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</si>
  <si>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</si>
  <si>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</si>
  <si>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</si>
  <si>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退休撫卹及</t>
    </r>
    <r>
      <rPr>
        <sz val="11"/>
        <rFont val="標楷體"/>
        <family val="4"/>
        <charset val="136"/>
      </rPr>
      <t>其他支出</t>
    </r>
    <phoneticPr fontId="4" type="noConversion"/>
  </si>
  <si>
    <t>教育科學文化支出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</si>
</sst>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_ 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2" applyFont="1" applyBorder="1"/>
    <xf numFmtId="0" fontId="5" fillId="0" borderId="0" xfId="2" applyFont="1" applyBorder="1"/>
    <xf numFmtId="0" fontId="1" fillId="0" borderId="0" xfId="2"/>
    <xf numFmtId="0" fontId="7" fillId="0" borderId="0" xfId="2" applyFont="1"/>
    <xf numFmtId="0" fontId="9" fillId="0" borderId="0" xfId="2" applyFont="1"/>
    <xf numFmtId="0" fontId="8" fillId="0" borderId="1" xfId="2" applyFont="1" applyBorder="1" applyAlignment="1">
      <alignment horizontal="center" vertical="center" wrapText="1"/>
    </xf>
    <xf numFmtId="3" fontId="10" fillId="0" borderId="1" xfId="3" applyNumberFormat="1" applyFont="1" applyBorder="1" applyAlignment="1">
      <alignment horizontal="right" vertical="center" wrapText="1"/>
    </xf>
    <xf numFmtId="177" fontId="10" fillId="0" borderId="2" xfId="3" applyNumberFormat="1" applyFont="1" applyBorder="1" applyAlignment="1">
      <alignment horizontal="right" vertical="center" wrapText="1"/>
    </xf>
    <xf numFmtId="176" fontId="10" fillId="0" borderId="2" xfId="3" applyNumberFormat="1" applyFont="1" applyBorder="1" applyAlignment="1">
      <alignment horizontal="right" vertical="center" wrapText="1"/>
    </xf>
    <xf numFmtId="176" fontId="10" fillId="0" borderId="2" xfId="3" applyNumberFormat="1" applyFont="1" applyBorder="1" applyAlignment="1">
      <alignment horizontal="center" vertical="center" wrapText="1"/>
    </xf>
    <xf numFmtId="176" fontId="10" fillId="0" borderId="3" xfId="3" applyNumberFormat="1" applyFont="1" applyBorder="1" applyAlignment="1">
      <alignment horizontal="center" vertical="center" wrapText="1"/>
    </xf>
    <xf numFmtId="176" fontId="8" fillId="0" borderId="0" xfId="3" applyNumberFormat="1" applyFont="1" applyAlignment="1"/>
    <xf numFmtId="176" fontId="11" fillId="0" borderId="0" xfId="3" applyNumberFormat="1" applyFont="1" applyAlignment="1"/>
    <xf numFmtId="176" fontId="10" fillId="0" borderId="1" xfId="3" applyNumberFormat="1" applyFont="1" applyBorder="1" applyAlignment="1">
      <alignment horizontal="right" vertical="center" wrapText="1"/>
    </xf>
    <xf numFmtId="0" fontId="10" fillId="0" borderId="0" xfId="2" applyFont="1"/>
    <xf numFmtId="0" fontId="12" fillId="0" borderId="1" xfId="2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right" vertical="center" wrapText="1"/>
    </xf>
    <xf numFmtId="176" fontId="12" fillId="0" borderId="2" xfId="3" applyNumberFormat="1" applyFont="1" applyBorder="1" applyAlignment="1">
      <alignment horizontal="right" vertical="center" wrapText="1"/>
    </xf>
    <xf numFmtId="176" fontId="12" fillId="0" borderId="2" xfId="3" applyNumberFormat="1" applyFont="1" applyBorder="1" applyAlignment="1">
      <alignment horizontal="center" vertical="center" wrapText="1"/>
    </xf>
    <xf numFmtId="176" fontId="12" fillId="0" borderId="3" xfId="3" applyNumberFormat="1" applyFont="1" applyBorder="1" applyAlignment="1">
      <alignment horizontal="right" vertical="center" wrapText="1"/>
    </xf>
    <xf numFmtId="176" fontId="12" fillId="0" borderId="3" xfId="3" applyNumberFormat="1" applyFont="1" applyBorder="1" applyAlignment="1">
      <alignment horizontal="center" vertical="center" wrapText="1"/>
    </xf>
    <xf numFmtId="176" fontId="12" fillId="0" borderId="2" xfId="3" applyNumberFormat="1" applyFont="1" applyBorder="1" applyAlignment="1"/>
    <xf numFmtId="176" fontId="12" fillId="0" borderId="3" xfId="3" applyNumberFormat="1" applyFont="1" applyBorder="1" applyAlignment="1"/>
    <xf numFmtId="0" fontId="9" fillId="0" borderId="0" xfId="2" applyFont="1" applyBorder="1"/>
    <xf numFmtId="176" fontId="12" fillId="0" borderId="0" xfId="3" applyNumberFormat="1" applyFont="1" applyAlignment="1"/>
    <xf numFmtId="0" fontId="12" fillId="0" borderId="0" xfId="2" applyFont="1"/>
    <xf numFmtId="0" fontId="4" fillId="0" borderId="0" xfId="2" applyFont="1"/>
    <xf numFmtId="176" fontId="4" fillId="0" borderId="2" xfId="3" applyNumberFormat="1" applyFont="1" applyBorder="1" applyAlignment="1"/>
    <xf numFmtId="176" fontId="4" fillId="0" borderId="0" xfId="3" applyNumberFormat="1" applyFont="1" applyAlignment="1"/>
    <xf numFmtId="176" fontId="4" fillId="0" borderId="2" xfId="2" applyNumberFormat="1" applyFont="1" applyBorder="1"/>
    <xf numFmtId="176" fontId="4" fillId="0" borderId="0" xfId="2" applyNumberFormat="1" applyFont="1"/>
    <xf numFmtId="178" fontId="4" fillId="0" borderId="2" xfId="2" applyNumberFormat="1" applyFont="1" applyBorder="1"/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6" fontId="8" fillId="0" borderId="2" xfId="3" applyNumberFormat="1" applyFont="1" applyBorder="1" applyAlignment="1">
      <alignment horizontal="right" vertical="center" wrapText="1"/>
    </xf>
    <xf numFmtId="176" fontId="8" fillId="0" borderId="1" xfId="3" applyNumberFormat="1" applyFont="1" applyFill="1" applyBorder="1" applyAlignment="1">
      <alignment horizontal="right" vertical="center" wrapText="1"/>
    </xf>
    <xf numFmtId="176" fontId="1" fillId="0" borderId="0" xfId="2" applyNumberFormat="1"/>
    <xf numFmtId="176" fontId="8" fillId="0" borderId="1" xfId="3" applyNumberFormat="1" applyFont="1" applyBorder="1" applyAlignment="1">
      <alignment horizontal="right" vertical="center" wrapText="1"/>
    </xf>
    <xf numFmtId="176" fontId="8" fillId="0" borderId="2" xfId="3" applyNumberFormat="1" applyFont="1" applyFill="1" applyBorder="1" applyAlignment="1">
      <alignment horizontal="right" vertical="center" wrapText="1"/>
    </xf>
    <xf numFmtId="0" fontId="12" fillId="0" borderId="0" xfId="2" applyFont="1" applyFill="1"/>
    <xf numFmtId="0" fontId="1" fillId="0" borderId="0" xfId="2" applyFill="1"/>
    <xf numFmtId="176" fontId="12" fillId="0" borderId="0" xfId="3" applyNumberFormat="1" applyFont="1" applyFill="1" applyAlignment="1">
      <alignment horizontal="right"/>
    </xf>
    <xf numFmtId="176" fontId="1" fillId="0" borderId="0" xfId="3" applyNumberFormat="1" applyFill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176" fontId="7" fillId="0" borderId="2" xfId="3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4" xfId="3" applyNumberFormat="1" applyFont="1" applyFill="1" applyBorder="1" applyAlignment="1">
      <alignment horizontal="right" vertical="center" wrapText="1"/>
    </xf>
    <xf numFmtId="176" fontId="4" fillId="0" borderId="3" xfId="3" applyNumberFormat="1" applyFont="1" applyBorder="1" applyAlignment="1"/>
    <xf numFmtId="176" fontId="4" fillId="0" borderId="3" xfId="2" applyNumberFormat="1" applyFont="1" applyBorder="1"/>
    <xf numFmtId="178" fontId="4" fillId="0" borderId="3" xfId="2" applyNumberFormat="1" applyFont="1" applyBorder="1"/>
    <xf numFmtId="176" fontId="7" fillId="0" borderId="3" xfId="3" applyNumberFormat="1" applyFont="1" applyFill="1" applyBorder="1" applyAlignment="1">
      <alignment horizontal="right" vertical="center" wrapText="1"/>
    </xf>
    <xf numFmtId="0" fontId="1" fillId="0" borderId="0" xfId="2" applyBorder="1"/>
    <xf numFmtId="176" fontId="8" fillId="0" borderId="3" xfId="3" applyNumberFormat="1" applyFont="1" applyFill="1" applyBorder="1" applyAlignment="1">
      <alignment horizontal="right" vertical="center" wrapText="1"/>
    </xf>
    <xf numFmtId="176" fontId="8" fillId="0" borderId="5" xfId="3" applyNumberFormat="1" applyFont="1" applyFill="1" applyBorder="1" applyAlignment="1">
      <alignment horizontal="right" vertical="center" wrapText="1"/>
    </xf>
    <xf numFmtId="176" fontId="8" fillId="0" borderId="6" xfId="3" applyNumberFormat="1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_縣市重要統計資料--施政成果year-2 " xfId="2" xr:uid="{00000000-0005-0000-0000-000002000000}"/>
    <cellStyle name="千分位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4"/>
  <sheetViews>
    <sheetView tabSelected="1" zoomScaleNormal="100" workbookViewId="0">
      <pane xSplit="1" ySplit="60" topLeftCell="B241" activePane="bottomRight" state="frozen"/>
      <selection activeCell="C118" sqref="C118"/>
      <selection pane="topRight" activeCell="C118" sqref="C118"/>
      <selection pane="bottomLeft" activeCell="C118" sqref="C118"/>
      <selection pane="bottomRight" activeCell="F257" sqref="F257"/>
    </sheetView>
  </sheetViews>
  <sheetFormatPr defaultRowHeight="16.5"/>
  <cols>
    <col min="1" max="1" width="23.25" style="3" customWidth="1"/>
    <col min="2" max="2" width="13.25" style="3" customWidth="1"/>
    <col min="3" max="3" width="15.125" style="3" customWidth="1"/>
    <col min="4" max="4" width="11.875" style="3" bestFit="1" customWidth="1"/>
    <col min="5" max="5" width="11.75" style="3" customWidth="1"/>
    <col min="6" max="6" width="11.25" style="3" customWidth="1"/>
    <col min="7" max="7" width="12.5" style="3" customWidth="1"/>
    <col min="8" max="8" width="9.625" style="3" customWidth="1"/>
    <col min="9" max="9" width="13.5" style="3" customWidth="1"/>
    <col min="10" max="11" width="12.75" style="3" customWidth="1"/>
    <col min="12" max="16" width="12.125" style="3" customWidth="1"/>
    <col min="17" max="19" width="13.25" style="3" customWidth="1"/>
    <col min="20" max="21" width="10.5" style="3" bestFit="1" customWidth="1"/>
    <col min="22" max="22" width="9.625" style="3" bestFit="1" customWidth="1"/>
    <col min="23" max="23" width="10.875" style="3" bestFit="1" customWidth="1"/>
    <col min="24" max="24" width="9.625" style="3" bestFit="1" customWidth="1"/>
    <col min="25" max="25" width="12.125" style="3" bestFit="1" customWidth="1"/>
    <col min="26" max="26" width="9.125" style="3" bestFit="1" customWidth="1"/>
    <col min="27" max="27" width="9.625" style="3" bestFit="1" customWidth="1"/>
    <col min="28" max="16384" width="9" style="3"/>
  </cols>
  <sheetData>
    <row r="1" spans="1:23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</v>
      </c>
    </row>
    <row r="3" spans="1:23" ht="16.5" customHeight="1">
      <c r="A3" s="65" t="s">
        <v>2</v>
      </c>
      <c r="B3" s="62" t="s">
        <v>3</v>
      </c>
      <c r="C3" s="68"/>
      <c r="D3" s="71" t="s">
        <v>4</v>
      </c>
      <c r="E3" s="71"/>
      <c r="F3" s="61" t="s">
        <v>16</v>
      </c>
      <c r="G3" s="61"/>
      <c r="H3" s="61" t="s">
        <v>5</v>
      </c>
      <c r="I3" s="61"/>
      <c r="J3" s="61" t="s">
        <v>6</v>
      </c>
      <c r="K3" s="61"/>
      <c r="L3" s="61" t="s">
        <v>7</v>
      </c>
      <c r="M3" s="61"/>
      <c r="N3" s="64" t="s">
        <v>8</v>
      </c>
      <c r="O3" s="61"/>
      <c r="P3" s="61" t="s">
        <v>15</v>
      </c>
      <c r="Q3" s="62"/>
      <c r="R3" s="61" t="s">
        <v>9</v>
      </c>
      <c r="S3" s="62"/>
      <c r="T3" s="4"/>
      <c r="U3" s="5"/>
    </row>
    <row r="4" spans="1:23">
      <c r="A4" s="66"/>
      <c r="B4" s="69"/>
      <c r="C4" s="70"/>
      <c r="D4" s="72"/>
      <c r="E4" s="72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3"/>
      <c r="R4" s="60"/>
      <c r="S4" s="63"/>
      <c r="T4" s="4"/>
      <c r="U4" s="5"/>
    </row>
    <row r="5" spans="1:23" ht="16.5" customHeight="1">
      <c r="A5" s="66"/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  <c r="G5" s="59" t="s">
        <v>13</v>
      </c>
      <c r="H5" s="59" t="s">
        <v>10</v>
      </c>
      <c r="I5" s="59" t="s">
        <v>14</v>
      </c>
      <c r="J5" s="59" t="s">
        <v>10</v>
      </c>
      <c r="K5" s="59" t="s">
        <v>14</v>
      </c>
      <c r="L5" s="59" t="s">
        <v>10</v>
      </c>
      <c r="M5" s="59" t="s">
        <v>14</v>
      </c>
      <c r="N5" s="59" t="s">
        <v>10</v>
      </c>
      <c r="O5" s="59" t="s">
        <v>14</v>
      </c>
      <c r="P5" s="59" t="s">
        <v>10</v>
      </c>
      <c r="Q5" s="59" t="s">
        <v>14</v>
      </c>
      <c r="R5" s="59" t="s">
        <v>10</v>
      </c>
      <c r="S5" s="59" t="s">
        <v>14</v>
      </c>
      <c r="T5" s="4"/>
      <c r="U5" s="5"/>
    </row>
    <row r="6" spans="1:23">
      <c r="A6" s="67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4"/>
      <c r="U6" s="5"/>
    </row>
    <row r="7" spans="1:23" ht="16.5" hidden="1" customHeight="1">
      <c r="A7" s="6">
        <v>8807</v>
      </c>
      <c r="B7" s="7" t="e">
        <f>D7+F7+H7+J7+L7+N7+P7+R7+#REF!</f>
        <v>#REF!</v>
      </c>
      <c r="C7" s="8" t="e">
        <f>E7+G7+I7+K7+M7+O7+Q7+S7+#REF!</f>
        <v>#REF!</v>
      </c>
      <c r="D7" s="9">
        <v>118211</v>
      </c>
      <c r="E7" s="9">
        <v>118211</v>
      </c>
      <c r="F7" s="9">
        <v>359620</v>
      </c>
      <c r="G7" s="9">
        <v>359620</v>
      </c>
      <c r="H7" s="9">
        <v>3151</v>
      </c>
      <c r="I7" s="9">
        <v>3151</v>
      </c>
      <c r="J7" s="9">
        <v>159327</v>
      </c>
      <c r="K7" s="10">
        <v>159327</v>
      </c>
      <c r="L7" s="10">
        <v>26799</v>
      </c>
      <c r="M7" s="10">
        <v>26799</v>
      </c>
      <c r="N7" s="10">
        <v>3584</v>
      </c>
      <c r="O7" s="10">
        <v>3584</v>
      </c>
      <c r="P7" s="10">
        <v>357238</v>
      </c>
      <c r="Q7" s="10">
        <v>357238</v>
      </c>
      <c r="R7" s="10">
        <v>0</v>
      </c>
      <c r="S7" s="11">
        <v>0</v>
      </c>
      <c r="T7" s="12"/>
      <c r="U7" s="12"/>
      <c r="V7" s="12"/>
      <c r="W7" s="13"/>
    </row>
    <row r="8" spans="1:23" ht="16.5" hidden="1" customHeight="1">
      <c r="A8" s="6">
        <v>8808</v>
      </c>
      <c r="B8" s="14" t="e">
        <f>D8+F8+H8+J8+L8+N8+P8+R8+#REF!</f>
        <v>#REF!</v>
      </c>
      <c r="C8" s="9" t="e">
        <f>E8+G8+I8+K8+M8+O8+Q8+S8+#REF!</f>
        <v>#REF!</v>
      </c>
      <c r="D8" s="9">
        <v>70555</v>
      </c>
      <c r="E8" s="9">
        <f>E7+D8</f>
        <v>188766</v>
      </c>
      <c r="F8" s="9">
        <v>257255</v>
      </c>
      <c r="G8" s="9">
        <f>G7+F8</f>
        <v>616875</v>
      </c>
      <c r="H8" s="9">
        <v>10854</v>
      </c>
      <c r="I8" s="9">
        <f>I7+H8</f>
        <v>14005</v>
      </c>
      <c r="J8" s="9">
        <v>104649</v>
      </c>
      <c r="K8" s="9">
        <f>K7+J8</f>
        <v>263976</v>
      </c>
      <c r="L8" s="9">
        <v>26919</v>
      </c>
      <c r="M8" s="9">
        <f>M7+L8</f>
        <v>53718</v>
      </c>
      <c r="N8" s="9">
        <v>2598</v>
      </c>
      <c r="O8" s="9">
        <f>O7+N8</f>
        <v>6182</v>
      </c>
      <c r="P8" s="9">
        <v>54877</v>
      </c>
      <c r="Q8" s="9">
        <f>Q7+P8</f>
        <v>412115</v>
      </c>
      <c r="R8" s="10">
        <v>0</v>
      </c>
      <c r="S8" s="11">
        <v>0</v>
      </c>
    </row>
    <row r="9" spans="1:23" hidden="1">
      <c r="A9" s="6">
        <v>8809</v>
      </c>
      <c r="B9" s="14" t="e">
        <f>D9+F9+H9+J9+L9+N9+P9+R9+#REF!</f>
        <v>#REF!</v>
      </c>
      <c r="C9" s="9" t="e">
        <f>E9+G9+I9+K9+M9+O9+Q9+S9+#REF!</f>
        <v>#REF!</v>
      </c>
      <c r="D9" s="9">
        <v>73268</v>
      </c>
      <c r="E9" s="9">
        <v>262034</v>
      </c>
      <c r="F9" s="9">
        <v>379672</v>
      </c>
      <c r="G9" s="9">
        <v>996547</v>
      </c>
      <c r="H9" s="9">
        <v>13006</v>
      </c>
      <c r="I9" s="9">
        <v>27011</v>
      </c>
      <c r="J9" s="9">
        <v>106692</v>
      </c>
      <c r="K9" s="9">
        <v>370668</v>
      </c>
      <c r="L9" s="9">
        <v>56373</v>
      </c>
      <c r="M9" s="9">
        <v>110091</v>
      </c>
      <c r="N9" s="9">
        <v>2962</v>
      </c>
      <c r="O9" s="9">
        <v>9144</v>
      </c>
      <c r="P9" s="9">
        <v>28192</v>
      </c>
      <c r="Q9" s="9">
        <v>440307</v>
      </c>
      <c r="R9" s="10">
        <v>0</v>
      </c>
      <c r="S9" s="11">
        <v>0</v>
      </c>
    </row>
    <row r="10" spans="1:23" hidden="1">
      <c r="A10" s="6">
        <v>8810</v>
      </c>
      <c r="B10" s="14" t="e">
        <f>D10+F10+H10+J10+L10+N10+P10+R10+#REF!</f>
        <v>#REF!</v>
      </c>
      <c r="C10" s="9" t="e">
        <f>E10+G10+I10+K10+M10+O10+Q10+S10+#REF!</f>
        <v>#REF!</v>
      </c>
      <c r="D10" s="9">
        <v>103325</v>
      </c>
      <c r="E10" s="9">
        <v>365360</v>
      </c>
      <c r="F10" s="9">
        <v>269813</v>
      </c>
      <c r="G10" s="9">
        <v>1266360</v>
      </c>
      <c r="H10" s="9">
        <v>30067</v>
      </c>
      <c r="I10" s="9">
        <v>57078</v>
      </c>
      <c r="J10" s="9">
        <v>68403</v>
      </c>
      <c r="K10" s="9">
        <v>439072</v>
      </c>
      <c r="L10" s="9">
        <v>31678</v>
      </c>
      <c r="M10" s="9">
        <v>141769</v>
      </c>
      <c r="N10" s="9">
        <v>2904</v>
      </c>
      <c r="O10" s="9">
        <v>12047</v>
      </c>
      <c r="P10" s="9">
        <v>33720</v>
      </c>
      <c r="Q10" s="9">
        <v>474026</v>
      </c>
      <c r="R10" s="10">
        <v>0</v>
      </c>
      <c r="S10" s="11">
        <v>0</v>
      </c>
    </row>
    <row r="11" spans="1:23" hidden="1">
      <c r="A11" s="6">
        <v>8811</v>
      </c>
      <c r="B11" s="14" t="e">
        <f>SUM(D11,F11,H11,J11,L11,N11,P11,R11,#REF!)</f>
        <v>#REF!</v>
      </c>
      <c r="C11" s="9" t="e">
        <f>SUM(E11,G11,I11,K11,M11,O11,Q11,S11,#REF!)</f>
        <v>#REF!</v>
      </c>
      <c r="D11" s="9">
        <v>97831</v>
      </c>
      <c r="E11" s="9">
        <v>463191</v>
      </c>
      <c r="F11" s="9">
        <v>255017</v>
      </c>
      <c r="G11" s="9">
        <v>1521377</v>
      </c>
      <c r="H11" s="9">
        <v>12372</v>
      </c>
      <c r="I11" s="9">
        <v>69450</v>
      </c>
      <c r="J11" s="9">
        <v>98707</v>
      </c>
      <c r="K11" s="9">
        <v>537779</v>
      </c>
      <c r="L11" s="9">
        <v>106000</v>
      </c>
      <c r="M11" s="9">
        <v>247769</v>
      </c>
      <c r="N11" s="9">
        <v>6169</v>
      </c>
      <c r="O11" s="9">
        <v>18216</v>
      </c>
      <c r="P11" s="9">
        <v>31112</v>
      </c>
      <c r="Q11" s="9">
        <v>505138</v>
      </c>
      <c r="R11" s="10">
        <v>0</v>
      </c>
      <c r="S11" s="11">
        <v>0</v>
      </c>
      <c r="T11" s="15"/>
      <c r="U11" s="15"/>
      <c r="V11" s="15"/>
    </row>
    <row r="12" spans="1:23" hidden="1">
      <c r="A12" s="6">
        <v>8812</v>
      </c>
      <c r="B12" s="14" t="e">
        <f>D12+F12+H12+J12+L12+N12+P12+R12+#REF!</f>
        <v>#REF!</v>
      </c>
      <c r="C12" s="9" t="e">
        <f>E12+G12+I12+K12+M12+O12+Q12+S12+#REF!</f>
        <v>#REF!</v>
      </c>
      <c r="D12" s="10">
        <v>99048</v>
      </c>
      <c r="E12" s="10">
        <v>562239</v>
      </c>
      <c r="F12" s="10">
        <v>236859</v>
      </c>
      <c r="G12" s="10">
        <v>1758235</v>
      </c>
      <c r="H12" s="10">
        <v>27994</v>
      </c>
      <c r="I12" s="10">
        <v>97444</v>
      </c>
      <c r="J12" s="10">
        <v>101773</v>
      </c>
      <c r="K12" s="10">
        <v>639552</v>
      </c>
      <c r="L12" s="10">
        <v>64818</v>
      </c>
      <c r="M12" s="10">
        <v>312587</v>
      </c>
      <c r="N12" s="10">
        <v>4530</v>
      </c>
      <c r="O12" s="10">
        <v>22746</v>
      </c>
      <c r="P12" s="10">
        <v>23027</v>
      </c>
      <c r="Q12" s="10">
        <v>528166</v>
      </c>
      <c r="R12" s="10">
        <v>0</v>
      </c>
      <c r="S12" s="11">
        <v>0</v>
      </c>
      <c r="T12" s="15"/>
      <c r="U12" s="15"/>
      <c r="V12" s="15"/>
    </row>
    <row r="13" spans="1:23" s="5" customFormat="1" ht="14.25" hidden="1">
      <c r="A13" s="16">
        <v>8901</v>
      </c>
      <c r="B13" s="17" t="e">
        <f>D13+F13+H13+J13+L13+N13+P13+R13+#REF!</f>
        <v>#REF!</v>
      </c>
      <c r="C13" s="18" t="e">
        <f>E13+G13+I13+K13+M13+O13+Q13+S13+#REF!</f>
        <v>#REF!</v>
      </c>
      <c r="D13" s="19">
        <v>205905</v>
      </c>
      <c r="E13" s="19">
        <v>768144</v>
      </c>
      <c r="F13" s="19">
        <v>535309</v>
      </c>
      <c r="G13" s="19">
        <v>2293545</v>
      </c>
      <c r="H13" s="19">
        <v>40015</v>
      </c>
      <c r="I13" s="19">
        <v>137459</v>
      </c>
      <c r="J13" s="19">
        <v>303966</v>
      </c>
      <c r="K13" s="19">
        <v>943518</v>
      </c>
      <c r="L13" s="19">
        <v>93448</v>
      </c>
      <c r="M13" s="19">
        <v>406035</v>
      </c>
      <c r="N13" s="19">
        <v>8833</v>
      </c>
      <c r="O13" s="19">
        <v>31579</v>
      </c>
      <c r="P13" s="19">
        <v>266487</v>
      </c>
      <c r="Q13" s="19">
        <v>794652</v>
      </c>
      <c r="R13" s="19">
        <v>0</v>
      </c>
      <c r="S13" s="21">
        <v>0</v>
      </c>
    </row>
    <row r="14" spans="1:23" s="5" customFormat="1" ht="14.25" hidden="1">
      <c r="A14" s="16">
        <v>8902</v>
      </c>
      <c r="B14" s="17" t="e">
        <f>D14+F14+H14+J14+L14+N14+P14+R14+#REF!</f>
        <v>#REF!</v>
      </c>
      <c r="C14" s="18" t="e">
        <f>E14+G14+I14+K14+M14+O14+Q14+S14+#REF!</f>
        <v>#REF!</v>
      </c>
      <c r="D14" s="19">
        <v>65110</v>
      </c>
      <c r="E14" s="19">
        <v>833255</v>
      </c>
      <c r="F14" s="19">
        <v>222238</v>
      </c>
      <c r="G14" s="19">
        <v>2515782</v>
      </c>
      <c r="H14" s="19">
        <v>62817</v>
      </c>
      <c r="I14" s="19">
        <v>200276</v>
      </c>
      <c r="J14" s="19">
        <v>96795</v>
      </c>
      <c r="K14" s="19">
        <v>1040313</v>
      </c>
      <c r="L14" s="19">
        <v>17861</v>
      </c>
      <c r="M14" s="19">
        <v>423896</v>
      </c>
      <c r="N14" s="19">
        <v>3251</v>
      </c>
      <c r="O14" s="19">
        <v>34830</v>
      </c>
      <c r="P14" s="19">
        <v>72971</v>
      </c>
      <c r="Q14" s="19">
        <v>867623</v>
      </c>
      <c r="R14" s="19">
        <v>0</v>
      </c>
      <c r="S14" s="21">
        <v>0</v>
      </c>
    </row>
    <row r="15" spans="1:23" s="5" customFormat="1" ht="14.25" hidden="1">
      <c r="A15" s="16">
        <v>8903</v>
      </c>
      <c r="B15" s="17" t="e">
        <f>D15+F15+H15+J15+L15+N15+P15+R15+#REF!</f>
        <v>#REF!</v>
      </c>
      <c r="C15" s="18" t="e">
        <f>E15+G15+I15+K15+M15+O15+Q15+S15+#REF!</f>
        <v>#REF!</v>
      </c>
      <c r="D15" s="18">
        <v>71187</v>
      </c>
      <c r="E15" s="18">
        <v>904442</v>
      </c>
      <c r="F15" s="18">
        <v>235362</v>
      </c>
      <c r="G15" s="18">
        <v>2751144</v>
      </c>
      <c r="H15" s="18">
        <v>38866</v>
      </c>
      <c r="I15" s="18">
        <v>239142</v>
      </c>
      <c r="J15" s="18">
        <v>109591</v>
      </c>
      <c r="K15" s="18">
        <v>1149903</v>
      </c>
      <c r="L15" s="18">
        <v>65656</v>
      </c>
      <c r="M15" s="18">
        <v>489553</v>
      </c>
      <c r="N15" s="18">
        <v>4888</v>
      </c>
      <c r="O15" s="18">
        <v>39717</v>
      </c>
      <c r="P15" s="18">
        <v>284113</v>
      </c>
      <c r="Q15" s="18">
        <v>1151737</v>
      </c>
      <c r="R15" s="19">
        <v>0</v>
      </c>
      <c r="S15" s="21">
        <v>0</v>
      </c>
    </row>
    <row r="16" spans="1:23" s="5" customFormat="1" ht="14.25" hidden="1">
      <c r="A16" s="16">
        <v>8904</v>
      </c>
      <c r="B16" s="17" t="e">
        <f>D16+F16+H16+J16+L16+N16+P16+R16+#REF!</f>
        <v>#REF!</v>
      </c>
      <c r="C16" s="18" t="e">
        <f>E16+G16+I16+K16+M16+O16+Q16+S16+#REF!</f>
        <v>#REF!</v>
      </c>
      <c r="D16" s="18">
        <v>58246</v>
      </c>
      <c r="E16" s="18">
        <v>962688</v>
      </c>
      <c r="F16" s="18">
        <v>231248</v>
      </c>
      <c r="G16" s="18">
        <v>2982393</v>
      </c>
      <c r="H16" s="18">
        <v>35967</v>
      </c>
      <c r="I16" s="18">
        <v>275108</v>
      </c>
      <c r="J16" s="18">
        <v>90130</v>
      </c>
      <c r="K16" s="18">
        <v>1240033</v>
      </c>
      <c r="L16" s="18">
        <v>63637</v>
      </c>
      <c r="M16" s="18">
        <v>553190</v>
      </c>
      <c r="N16" s="18">
        <v>3837</v>
      </c>
      <c r="O16" s="18">
        <v>43554</v>
      </c>
      <c r="P16" s="18">
        <v>177606</v>
      </c>
      <c r="Q16" s="18">
        <v>1329343</v>
      </c>
      <c r="R16" s="18">
        <v>9388</v>
      </c>
      <c r="S16" s="20">
        <v>9388</v>
      </c>
    </row>
    <row r="17" spans="1:19" s="5" customFormat="1" ht="14.25" hidden="1">
      <c r="A17" s="16">
        <v>8905</v>
      </c>
      <c r="B17" s="17" t="e">
        <f>D17+F17+H17+J17+L17+N17+P17+R17+#REF!</f>
        <v>#REF!</v>
      </c>
      <c r="C17" s="18" t="e">
        <f>E17+G17+I17+K17+M17+O17+Q17+S17+#REF!</f>
        <v>#REF!</v>
      </c>
      <c r="D17" s="19">
        <v>66187</v>
      </c>
      <c r="E17" s="19">
        <v>1028875</v>
      </c>
      <c r="F17" s="19">
        <v>234772</v>
      </c>
      <c r="G17" s="19">
        <v>3217165</v>
      </c>
      <c r="H17" s="19">
        <v>65785</v>
      </c>
      <c r="I17" s="19">
        <v>340893</v>
      </c>
      <c r="J17" s="19">
        <v>104401</v>
      </c>
      <c r="K17" s="19">
        <v>1344435</v>
      </c>
      <c r="L17" s="19">
        <v>28828</v>
      </c>
      <c r="M17" s="19">
        <v>582017</v>
      </c>
      <c r="N17" s="19">
        <v>6352</v>
      </c>
      <c r="O17" s="19">
        <v>49906</v>
      </c>
      <c r="P17" s="19">
        <v>22427</v>
      </c>
      <c r="Q17" s="19">
        <v>1351770</v>
      </c>
      <c r="R17" s="19">
        <v>1487</v>
      </c>
      <c r="S17" s="21">
        <v>10875</v>
      </c>
    </row>
    <row r="18" spans="1:19" s="5" customFormat="1" ht="14.25" hidden="1">
      <c r="A18" s="16">
        <v>8906</v>
      </c>
      <c r="B18" s="17" t="e">
        <f>D18+F18+H18+J18+L18+N18+P18+R18+#REF!</f>
        <v>#REF!</v>
      </c>
      <c r="C18" s="18" t="e">
        <f>E18+G18+I18+K18+M18+O18+Q18+S18+#REF!</f>
        <v>#REF!</v>
      </c>
      <c r="D18" s="19">
        <v>70477</v>
      </c>
      <c r="E18" s="19">
        <v>1099352</v>
      </c>
      <c r="F18" s="19">
        <v>248955</v>
      </c>
      <c r="G18" s="19">
        <v>3466120</v>
      </c>
      <c r="H18" s="19">
        <v>85071</v>
      </c>
      <c r="I18" s="19">
        <v>425964</v>
      </c>
      <c r="J18" s="19">
        <v>104080</v>
      </c>
      <c r="K18" s="19">
        <v>1448516</v>
      </c>
      <c r="L18" s="19">
        <v>71786</v>
      </c>
      <c r="M18" s="19">
        <v>653803</v>
      </c>
      <c r="N18" s="19">
        <v>5074</v>
      </c>
      <c r="O18" s="19">
        <v>54980</v>
      </c>
      <c r="P18" s="19">
        <v>24667</v>
      </c>
      <c r="Q18" s="19">
        <v>1376437</v>
      </c>
      <c r="R18" s="19">
        <v>0</v>
      </c>
      <c r="S18" s="21">
        <v>10875</v>
      </c>
    </row>
    <row r="19" spans="1:19" s="5" customFormat="1" ht="14.25" hidden="1">
      <c r="A19" s="16">
        <v>8907</v>
      </c>
      <c r="B19" s="17" t="e">
        <f>D19+F19+H19+J19+L19+N19+P19+R19+#REF!</f>
        <v>#REF!</v>
      </c>
      <c r="C19" s="18" t="e">
        <f>E19+G19+I19+K19+M19+O19+Q19+S19+#REF!</f>
        <v>#REF!</v>
      </c>
      <c r="D19" s="19">
        <v>96334</v>
      </c>
      <c r="E19" s="19">
        <v>1195686</v>
      </c>
      <c r="F19" s="19">
        <v>213920</v>
      </c>
      <c r="G19" s="19">
        <v>3680039</v>
      </c>
      <c r="H19" s="19">
        <v>62245</v>
      </c>
      <c r="I19" s="19">
        <v>488209</v>
      </c>
      <c r="J19" s="19">
        <v>103738</v>
      </c>
      <c r="K19" s="19">
        <v>1552254</v>
      </c>
      <c r="L19" s="19">
        <v>24347</v>
      </c>
      <c r="M19" s="19">
        <v>678150</v>
      </c>
      <c r="N19" s="19">
        <v>13540</v>
      </c>
      <c r="O19" s="19">
        <v>68520</v>
      </c>
      <c r="P19" s="19">
        <v>247065</v>
      </c>
      <c r="Q19" s="19">
        <v>1623502</v>
      </c>
      <c r="R19" s="19">
        <v>10618</v>
      </c>
      <c r="S19" s="21">
        <v>21493</v>
      </c>
    </row>
    <row r="20" spans="1:19" s="5" customFormat="1" ht="14.25" hidden="1">
      <c r="A20" s="16">
        <v>8908</v>
      </c>
      <c r="B20" s="17" t="e">
        <f>D20+F20+H20+J20+L20+N20+P20+R20+#REF!</f>
        <v>#REF!</v>
      </c>
      <c r="C20" s="18" t="e">
        <f>E20+G20+I20+K20+M20+O20+Q20+S20+#REF!</f>
        <v>#REF!</v>
      </c>
      <c r="D20" s="19">
        <v>63545</v>
      </c>
      <c r="E20" s="19">
        <v>1259231</v>
      </c>
      <c r="F20" s="19">
        <v>254787</v>
      </c>
      <c r="G20" s="19">
        <v>3934826</v>
      </c>
      <c r="H20" s="19">
        <v>52689</v>
      </c>
      <c r="I20" s="19">
        <v>540898</v>
      </c>
      <c r="J20" s="19">
        <v>98057</v>
      </c>
      <c r="K20" s="19">
        <v>1650310</v>
      </c>
      <c r="L20" s="19">
        <v>27620</v>
      </c>
      <c r="M20" s="19">
        <v>705770</v>
      </c>
      <c r="N20" s="19">
        <v>3372</v>
      </c>
      <c r="O20" s="19">
        <v>71892</v>
      </c>
      <c r="P20" s="19">
        <v>129042</v>
      </c>
      <c r="Q20" s="19">
        <v>1752545</v>
      </c>
      <c r="R20" s="19">
        <v>0</v>
      </c>
      <c r="S20" s="21">
        <v>21493</v>
      </c>
    </row>
    <row r="21" spans="1:19" s="5" customFormat="1" ht="14.25" hidden="1">
      <c r="A21" s="16">
        <v>8909</v>
      </c>
      <c r="B21" s="17" t="e">
        <f>D21+F21+H21+J21+L21+N21+P21+R21+#REF!</f>
        <v>#REF!</v>
      </c>
      <c r="C21" s="18" t="e">
        <f>E21+G21+I21+K21+M21+O21+Q21+S21+#REF!</f>
        <v>#REF!</v>
      </c>
      <c r="D21" s="19">
        <v>87330</v>
      </c>
      <c r="E21" s="19">
        <v>1346561</v>
      </c>
      <c r="F21" s="19">
        <v>387964</v>
      </c>
      <c r="G21" s="19">
        <v>4322790</v>
      </c>
      <c r="H21" s="19">
        <v>36920</v>
      </c>
      <c r="I21" s="19">
        <v>577818</v>
      </c>
      <c r="J21" s="19">
        <v>104483</v>
      </c>
      <c r="K21" s="19">
        <v>1754793</v>
      </c>
      <c r="L21" s="19">
        <v>30659</v>
      </c>
      <c r="M21" s="19">
        <v>736428</v>
      </c>
      <c r="N21" s="19">
        <v>7250</v>
      </c>
      <c r="O21" s="19">
        <v>79143</v>
      </c>
      <c r="P21" s="19">
        <v>28622</v>
      </c>
      <c r="Q21" s="19">
        <v>1781166</v>
      </c>
      <c r="R21" s="19">
        <v>0</v>
      </c>
      <c r="S21" s="21">
        <v>21493</v>
      </c>
    </row>
    <row r="22" spans="1:19" s="5" customFormat="1" ht="14.25" hidden="1">
      <c r="A22" s="16">
        <v>8910</v>
      </c>
      <c r="B22" s="17" t="e">
        <f>D22+F22+H22+J22+L22+N22+P22+R22+#REF!</f>
        <v>#REF!</v>
      </c>
      <c r="C22" s="18" t="e">
        <f>E22+G22+I22+K22+M22+O22+Q22+S22+#REF!</f>
        <v>#REF!</v>
      </c>
      <c r="D22" s="19">
        <v>65681</v>
      </c>
      <c r="E22" s="19">
        <v>1412242</v>
      </c>
      <c r="F22" s="19">
        <v>279583</v>
      </c>
      <c r="G22" s="19">
        <v>4602374</v>
      </c>
      <c r="H22" s="19">
        <v>35578</v>
      </c>
      <c r="I22" s="19">
        <v>613396</v>
      </c>
      <c r="J22" s="19">
        <v>102987</v>
      </c>
      <c r="K22" s="19">
        <v>1857780</v>
      </c>
      <c r="L22" s="19">
        <v>83357</v>
      </c>
      <c r="M22" s="19">
        <v>819785</v>
      </c>
      <c r="N22" s="19">
        <v>4698</v>
      </c>
      <c r="O22" s="19">
        <v>83841</v>
      </c>
      <c r="P22" s="19">
        <v>34500</v>
      </c>
      <c r="Q22" s="19">
        <v>1815666</v>
      </c>
      <c r="R22" s="19">
        <v>0</v>
      </c>
      <c r="S22" s="21">
        <v>21493</v>
      </c>
    </row>
    <row r="23" spans="1:19" s="5" customFormat="1" ht="14.25" hidden="1">
      <c r="A23" s="16">
        <v>8911</v>
      </c>
      <c r="B23" s="17" t="e">
        <f>D23+F23+H23+J23+L23+N23+P23+R23+#REF!</f>
        <v>#REF!</v>
      </c>
      <c r="C23" s="18" t="e">
        <f>E23+G23+I23+K23+M23+O23+Q23+S23+#REF!</f>
        <v>#REF!</v>
      </c>
      <c r="D23" s="19">
        <v>392889</v>
      </c>
      <c r="E23" s="19">
        <v>1805130</v>
      </c>
      <c r="F23" s="19">
        <v>294110</v>
      </c>
      <c r="G23" s="19">
        <v>4896484</v>
      </c>
      <c r="H23" s="19">
        <v>258445</v>
      </c>
      <c r="I23" s="19">
        <v>871841</v>
      </c>
      <c r="J23" s="19">
        <v>109309</v>
      </c>
      <c r="K23" s="19">
        <v>1967089</v>
      </c>
      <c r="L23" s="19">
        <v>123015</v>
      </c>
      <c r="M23" s="19">
        <v>942800</v>
      </c>
      <c r="N23" s="19">
        <v>5522</v>
      </c>
      <c r="O23" s="19">
        <v>89363</v>
      </c>
      <c r="P23" s="19">
        <v>21756</v>
      </c>
      <c r="Q23" s="19">
        <v>1837423</v>
      </c>
      <c r="R23" s="19">
        <v>3043</v>
      </c>
      <c r="S23" s="21">
        <v>24536</v>
      </c>
    </row>
    <row r="24" spans="1:19" s="5" customFormat="1" ht="14.25" hidden="1">
      <c r="A24" s="16">
        <v>8912</v>
      </c>
      <c r="B24" s="17" t="e">
        <f>D24+F24+H24+J24+L24+N24+P24+R24+#REF!</f>
        <v>#REF!</v>
      </c>
      <c r="C24" s="18" t="e">
        <f>E24+G24+I24+K24+M24+O24+Q24+S24+#REF!</f>
        <v>#REF!</v>
      </c>
      <c r="D24" s="19">
        <v>141663</v>
      </c>
      <c r="E24" s="19">
        <v>1946793</v>
      </c>
      <c r="F24" s="19">
        <v>145961</v>
      </c>
      <c r="G24" s="19">
        <v>5042445</v>
      </c>
      <c r="H24" s="19">
        <v>236057</v>
      </c>
      <c r="I24" s="19">
        <v>1107898</v>
      </c>
      <c r="J24" s="19">
        <v>115281</v>
      </c>
      <c r="K24" s="19">
        <v>2082370</v>
      </c>
      <c r="L24" s="19">
        <v>42577</v>
      </c>
      <c r="M24" s="19">
        <v>985377</v>
      </c>
      <c r="N24" s="19">
        <v>23687</v>
      </c>
      <c r="O24" s="19">
        <v>113050</v>
      </c>
      <c r="P24" s="19">
        <v>21727</v>
      </c>
      <c r="Q24" s="19">
        <v>1859150</v>
      </c>
      <c r="R24" s="19">
        <v>5101</v>
      </c>
      <c r="S24" s="21">
        <v>29637</v>
      </c>
    </row>
    <row r="25" spans="1:19" s="5" customFormat="1" ht="14.25" hidden="1">
      <c r="A25" s="16">
        <v>9001</v>
      </c>
      <c r="B25" s="17" t="e">
        <f>D25+F25+H25+J25+L25+N25+P25+R25+#REF!</f>
        <v>#REF!</v>
      </c>
      <c r="C25" s="18" t="e">
        <f>E25+G25+I25+K25+M25+O25+Q25+S25+#REF!</f>
        <v>#REF!</v>
      </c>
      <c r="D25" s="19">
        <v>257255</v>
      </c>
      <c r="E25" s="19">
        <v>257255</v>
      </c>
      <c r="F25" s="19">
        <v>715028</v>
      </c>
      <c r="G25" s="19">
        <v>715028</v>
      </c>
      <c r="H25" s="19">
        <v>7720</v>
      </c>
      <c r="I25" s="19">
        <v>7720</v>
      </c>
      <c r="J25" s="19">
        <v>325650</v>
      </c>
      <c r="K25" s="19">
        <v>325650</v>
      </c>
      <c r="L25" s="19">
        <v>219963</v>
      </c>
      <c r="M25" s="19">
        <v>219963</v>
      </c>
      <c r="N25" s="19">
        <v>10941</v>
      </c>
      <c r="O25" s="19">
        <v>10941</v>
      </c>
      <c r="P25" s="19">
        <v>278483</v>
      </c>
      <c r="Q25" s="19">
        <v>278483</v>
      </c>
      <c r="R25" s="19">
        <v>2396</v>
      </c>
      <c r="S25" s="21">
        <v>2396</v>
      </c>
    </row>
    <row r="26" spans="1:19" s="5" customFormat="1" ht="14.25" hidden="1">
      <c r="A26" s="16">
        <v>9002</v>
      </c>
      <c r="B26" s="17" t="e">
        <f>D26+F26+H26+J26+L26+N26+P26+R26+#REF!</f>
        <v>#REF!</v>
      </c>
      <c r="C26" s="18" t="e">
        <f>E26+G26+I26+K26+M26+O26+Q26+S26+#REF!</f>
        <v>#REF!</v>
      </c>
      <c r="D26" s="19">
        <v>84070</v>
      </c>
      <c r="E26" s="19">
        <v>341325</v>
      </c>
      <c r="F26" s="19">
        <v>247385</v>
      </c>
      <c r="G26" s="19">
        <v>962413</v>
      </c>
      <c r="H26" s="19">
        <v>7709</v>
      </c>
      <c r="I26" s="19">
        <v>15428</v>
      </c>
      <c r="J26" s="19">
        <v>107130</v>
      </c>
      <c r="K26" s="19">
        <v>432781</v>
      </c>
      <c r="L26" s="19">
        <v>25937</v>
      </c>
      <c r="M26" s="19">
        <v>245900</v>
      </c>
      <c r="N26" s="19">
        <v>6948</v>
      </c>
      <c r="O26" s="19">
        <v>17889</v>
      </c>
      <c r="P26" s="19">
        <v>104522</v>
      </c>
      <c r="Q26" s="19">
        <v>383005</v>
      </c>
      <c r="R26" s="19">
        <v>10504</v>
      </c>
      <c r="S26" s="21">
        <v>12900</v>
      </c>
    </row>
    <row r="27" spans="1:19" s="5" customFormat="1" ht="14.25" hidden="1">
      <c r="A27" s="16">
        <v>9003</v>
      </c>
      <c r="B27" s="17" t="e">
        <f>D27+F27+H27+J27+L27+N27+P27+R27+#REF!</f>
        <v>#REF!</v>
      </c>
      <c r="C27" s="18" t="e">
        <f>E27+G27+I27+K27+M27+O27+Q27+S27+#REF!</f>
        <v>#REF!</v>
      </c>
      <c r="D27" s="19">
        <v>91549</v>
      </c>
      <c r="E27" s="19">
        <v>432874</v>
      </c>
      <c r="F27" s="19">
        <v>269578</v>
      </c>
      <c r="G27" s="19">
        <v>1231990</v>
      </c>
      <c r="H27" s="19">
        <v>13943</v>
      </c>
      <c r="I27" s="19">
        <v>29372</v>
      </c>
      <c r="J27" s="19">
        <v>112166</v>
      </c>
      <c r="K27" s="19">
        <v>544947</v>
      </c>
      <c r="L27" s="19">
        <v>210315</v>
      </c>
      <c r="M27" s="19">
        <v>456215</v>
      </c>
      <c r="N27" s="19">
        <v>5291</v>
      </c>
      <c r="O27" s="19">
        <v>23180</v>
      </c>
      <c r="P27" s="19">
        <v>24623</v>
      </c>
      <c r="Q27" s="19">
        <v>407628</v>
      </c>
      <c r="R27" s="19">
        <v>6879</v>
      </c>
      <c r="S27" s="21">
        <v>19779</v>
      </c>
    </row>
    <row r="28" spans="1:19" s="5" customFormat="1" ht="14.25" hidden="1">
      <c r="A28" s="16">
        <v>9004</v>
      </c>
      <c r="B28" s="17" t="e">
        <f>D28+F28+H28+J28+L28+N28+P28+R28+#REF!</f>
        <v>#REF!</v>
      </c>
      <c r="C28" s="18" t="e">
        <f>E28+G28+I28+K28+M28+O28+Q28+S28+#REF!</f>
        <v>#REF!</v>
      </c>
      <c r="D28" s="19">
        <v>86440</v>
      </c>
      <c r="E28" s="19">
        <v>519314</v>
      </c>
      <c r="F28" s="19">
        <v>266051</v>
      </c>
      <c r="G28" s="19">
        <v>1498041</v>
      </c>
      <c r="H28" s="19">
        <v>12185</v>
      </c>
      <c r="I28" s="19">
        <v>41556</v>
      </c>
      <c r="J28" s="19">
        <v>101918</v>
      </c>
      <c r="K28" s="19">
        <v>646865</v>
      </c>
      <c r="L28" s="19">
        <v>69678</v>
      </c>
      <c r="M28" s="19">
        <v>525893</v>
      </c>
      <c r="N28" s="19">
        <v>6064</v>
      </c>
      <c r="O28" s="19">
        <v>29245</v>
      </c>
      <c r="P28" s="19">
        <v>16161</v>
      </c>
      <c r="Q28" s="19">
        <v>423789</v>
      </c>
      <c r="R28" s="19">
        <v>21791</v>
      </c>
      <c r="S28" s="21">
        <v>41570</v>
      </c>
    </row>
    <row r="29" spans="1:19" s="5" customFormat="1" ht="14.25" hidden="1">
      <c r="A29" s="16">
        <v>9005</v>
      </c>
      <c r="B29" s="17" t="e">
        <f>D29+F29+H29+J29+L29+N29+P29+R29+#REF!</f>
        <v>#REF!</v>
      </c>
      <c r="C29" s="18" t="e">
        <f>E29+G29+I29+K29+M29+O29+Q29+S29+#REF!</f>
        <v>#REF!</v>
      </c>
      <c r="D29" s="19">
        <v>101298</v>
      </c>
      <c r="E29" s="19">
        <v>620613</v>
      </c>
      <c r="F29" s="19">
        <v>273284</v>
      </c>
      <c r="G29" s="19">
        <v>1771325</v>
      </c>
      <c r="H29" s="19">
        <v>45051</v>
      </c>
      <c r="I29" s="19">
        <v>86607</v>
      </c>
      <c r="J29" s="19">
        <v>114752</v>
      </c>
      <c r="K29" s="19">
        <v>761617</v>
      </c>
      <c r="L29" s="19">
        <v>57520</v>
      </c>
      <c r="M29" s="19">
        <v>583413</v>
      </c>
      <c r="N29" s="19">
        <v>11461</v>
      </c>
      <c r="O29" s="19">
        <v>40705</v>
      </c>
      <c r="P29" s="19">
        <v>7290</v>
      </c>
      <c r="Q29" s="19">
        <v>431079</v>
      </c>
      <c r="R29" s="19">
        <v>11739</v>
      </c>
      <c r="S29" s="21">
        <v>53309</v>
      </c>
    </row>
    <row r="30" spans="1:19" s="5" customFormat="1" ht="14.25" hidden="1">
      <c r="A30" s="16">
        <v>9006</v>
      </c>
      <c r="B30" s="17" t="e">
        <f>D30+F30+H30+J30+L30+N30+P30+R30+#REF!</f>
        <v>#REF!</v>
      </c>
      <c r="C30" s="18" t="e">
        <f>E30+G30+I30+K30+M30+O30+Q30+S30+#REF!</f>
        <v>#REF!</v>
      </c>
      <c r="D30" s="19">
        <v>98077</v>
      </c>
      <c r="E30" s="19">
        <v>718690</v>
      </c>
      <c r="F30" s="19">
        <v>281569</v>
      </c>
      <c r="G30" s="19">
        <v>2052895</v>
      </c>
      <c r="H30" s="19">
        <v>20963</v>
      </c>
      <c r="I30" s="19">
        <v>107571</v>
      </c>
      <c r="J30" s="19">
        <v>121304</v>
      </c>
      <c r="K30" s="19">
        <v>882921</v>
      </c>
      <c r="L30" s="19">
        <v>79954</v>
      </c>
      <c r="M30" s="19">
        <v>663366</v>
      </c>
      <c r="N30" s="19">
        <v>6842</v>
      </c>
      <c r="O30" s="19">
        <v>47547</v>
      </c>
      <c r="P30" s="19">
        <v>5669</v>
      </c>
      <c r="Q30" s="19">
        <v>436748</v>
      </c>
      <c r="R30" s="19">
        <v>11347</v>
      </c>
      <c r="S30" s="21">
        <v>64656</v>
      </c>
    </row>
    <row r="31" spans="1:19" s="5" customFormat="1" ht="14.25" hidden="1">
      <c r="A31" s="16">
        <v>9007</v>
      </c>
      <c r="B31" s="17" t="e">
        <f>D31+F31+H31+J31+L31+N31+P31+R31+#REF!</f>
        <v>#REF!</v>
      </c>
      <c r="C31" s="18" t="e">
        <f>E31+G31+I31+K31+M31+O31+Q31+S31+#REF!</f>
        <v>#REF!</v>
      </c>
      <c r="D31" s="19">
        <v>104698</v>
      </c>
      <c r="E31" s="19">
        <v>823388</v>
      </c>
      <c r="F31" s="19">
        <v>236807</v>
      </c>
      <c r="G31" s="19">
        <v>2289702</v>
      </c>
      <c r="H31" s="19">
        <v>31315</v>
      </c>
      <c r="I31" s="19">
        <v>138885</v>
      </c>
      <c r="J31" s="19">
        <v>107195</v>
      </c>
      <c r="K31" s="19">
        <v>990116</v>
      </c>
      <c r="L31" s="19">
        <v>172447</v>
      </c>
      <c r="M31" s="19">
        <v>835814</v>
      </c>
      <c r="N31" s="19">
        <v>8418</v>
      </c>
      <c r="O31" s="19">
        <v>55965</v>
      </c>
      <c r="P31" s="19">
        <v>589923</v>
      </c>
      <c r="Q31" s="19">
        <v>1026671</v>
      </c>
      <c r="R31" s="19">
        <v>35246</v>
      </c>
      <c r="S31" s="21">
        <v>99902</v>
      </c>
    </row>
    <row r="32" spans="1:19" s="24" customFormat="1" ht="14.25" hidden="1">
      <c r="A32" s="16">
        <v>9008</v>
      </c>
      <c r="B32" s="17" t="e">
        <f>D32+F32+H32+J32+L32+N32+P32+R32+#REF!</f>
        <v>#REF!</v>
      </c>
      <c r="C32" s="18" t="e">
        <f>E32+G32+I32+K32+M32+O32+Q32+S32+#REF!</f>
        <v>#REF!</v>
      </c>
      <c r="D32" s="22">
        <v>94676</v>
      </c>
      <c r="E32" s="22">
        <v>918064</v>
      </c>
      <c r="F32" s="22">
        <v>300347</v>
      </c>
      <c r="G32" s="22">
        <v>2590049</v>
      </c>
      <c r="H32" s="22">
        <v>49949</v>
      </c>
      <c r="I32" s="22">
        <v>188834</v>
      </c>
      <c r="J32" s="22">
        <v>116191</v>
      </c>
      <c r="K32" s="22">
        <v>1106307</v>
      </c>
      <c r="L32" s="22">
        <v>69984</v>
      </c>
      <c r="M32" s="22">
        <v>905798</v>
      </c>
      <c r="N32" s="22">
        <v>5731</v>
      </c>
      <c r="O32" s="22">
        <v>61696</v>
      </c>
      <c r="P32" s="22">
        <v>203566</v>
      </c>
      <c r="Q32" s="22">
        <v>1230237</v>
      </c>
      <c r="R32" s="22">
        <v>13938</v>
      </c>
      <c r="S32" s="23">
        <v>113840</v>
      </c>
    </row>
    <row r="33" spans="1:51" s="5" customFormat="1" ht="15" hidden="1" customHeight="1">
      <c r="A33" s="16">
        <v>9009</v>
      </c>
      <c r="B33" s="17" t="e">
        <f>D33+F33+H33+J33+L33+N33+P33+R33+#REF!</f>
        <v>#REF!</v>
      </c>
      <c r="C33" s="18" t="e">
        <f>E33+G33+I33+K33+M33+O33+Q33+S33+#REF!</f>
        <v>#REF!</v>
      </c>
      <c r="D33" s="25">
        <v>47006</v>
      </c>
      <c r="E33" s="22">
        <v>965070</v>
      </c>
      <c r="F33" s="25">
        <v>120748</v>
      </c>
      <c r="G33" s="22">
        <v>2710798</v>
      </c>
      <c r="H33" s="25">
        <v>19478</v>
      </c>
      <c r="I33" s="22">
        <v>208312</v>
      </c>
      <c r="J33" s="25">
        <v>32093</v>
      </c>
      <c r="K33" s="22">
        <v>1138400</v>
      </c>
      <c r="L33" s="25">
        <v>49584</v>
      </c>
      <c r="M33" s="22">
        <v>955381</v>
      </c>
      <c r="N33" s="25">
        <v>2433</v>
      </c>
      <c r="O33" s="22">
        <v>64129</v>
      </c>
      <c r="P33" s="25">
        <v>10013</v>
      </c>
      <c r="Q33" s="22">
        <v>1240250</v>
      </c>
      <c r="R33" s="25">
        <v>13457</v>
      </c>
      <c r="S33" s="23">
        <v>127298</v>
      </c>
    </row>
    <row r="34" spans="1:51" s="5" customFormat="1" ht="14.25" hidden="1">
      <c r="A34" s="16">
        <v>9010</v>
      </c>
      <c r="B34" s="17" t="e">
        <f>D34+F34+H34+J34+L34+N34+P34+R34+#REF!</f>
        <v>#REF!</v>
      </c>
      <c r="C34" s="18" t="e">
        <f>E34+G34+I34+K34+M34+O34+Q34+S34+#REF!</f>
        <v>#REF!</v>
      </c>
      <c r="D34" s="25">
        <v>108341</v>
      </c>
      <c r="E34" s="22">
        <v>1073411</v>
      </c>
      <c r="F34" s="25">
        <v>384901</v>
      </c>
      <c r="G34" s="22">
        <v>3095699</v>
      </c>
      <c r="H34" s="25">
        <v>37826</v>
      </c>
      <c r="I34" s="22">
        <v>246138</v>
      </c>
      <c r="J34" s="25">
        <v>118521</v>
      </c>
      <c r="K34" s="22">
        <v>1256921</v>
      </c>
      <c r="L34" s="25">
        <v>208267</v>
      </c>
      <c r="M34" s="22">
        <v>1163648</v>
      </c>
      <c r="N34" s="25">
        <v>14861</v>
      </c>
      <c r="O34" s="22">
        <v>78990</v>
      </c>
      <c r="P34" s="25">
        <v>19933</v>
      </c>
      <c r="Q34" s="22">
        <v>1260183</v>
      </c>
      <c r="R34" s="25">
        <v>13688</v>
      </c>
      <c r="S34" s="23">
        <v>140985</v>
      </c>
    </row>
    <row r="35" spans="1:51" s="5" customFormat="1" ht="14.25" hidden="1">
      <c r="A35" s="16">
        <v>9011</v>
      </c>
      <c r="B35" s="17" t="e">
        <f>D35+F35+H35+J35+L35+N35+P35+R35+#REF!</f>
        <v>#REF!</v>
      </c>
      <c r="C35" s="18" t="e">
        <f>E35+G35+I35+K35+M35+O35+Q35+S35+#REF!</f>
        <v>#REF!</v>
      </c>
      <c r="D35" s="25">
        <v>138382</v>
      </c>
      <c r="E35" s="22">
        <v>1211793</v>
      </c>
      <c r="F35" s="25">
        <v>445868</v>
      </c>
      <c r="G35" s="22">
        <v>3541567</v>
      </c>
      <c r="H35" s="25">
        <v>166007</v>
      </c>
      <c r="I35" s="22">
        <v>412145</v>
      </c>
      <c r="J35" s="25">
        <v>122778</v>
      </c>
      <c r="K35" s="22">
        <v>1379699</v>
      </c>
      <c r="L35" s="25">
        <v>115892</v>
      </c>
      <c r="M35" s="22">
        <v>1279540</v>
      </c>
      <c r="N35" s="25">
        <v>11476</v>
      </c>
      <c r="O35" s="22">
        <v>90466</v>
      </c>
      <c r="P35" s="25">
        <v>15228</v>
      </c>
      <c r="Q35" s="22">
        <v>1275411</v>
      </c>
      <c r="R35" s="25">
        <v>13163</v>
      </c>
      <c r="S35" s="23">
        <v>154149</v>
      </c>
    </row>
    <row r="36" spans="1:51" s="5" customFormat="1" ht="14.25" hidden="1">
      <c r="A36" s="16">
        <v>9012</v>
      </c>
      <c r="B36" s="17" t="e">
        <f>D36+F36+H36+J36+L36+N36+P36+R36+#REF!</f>
        <v>#REF!</v>
      </c>
      <c r="C36" s="18" t="e">
        <f>E36+G36+I36+K36+M36+O36+Q36+S36+#REF!</f>
        <v>#REF!</v>
      </c>
      <c r="D36" s="25">
        <v>191341</v>
      </c>
      <c r="E36" s="22">
        <v>1403134</v>
      </c>
      <c r="F36" s="25">
        <v>527803</v>
      </c>
      <c r="G36" s="22">
        <v>4069370</v>
      </c>
      <c r="H36" s="25">
        <v>424756</v>
      </c>
      <c r="I36" s="22">
        <v>836901</v>
      </c>
      <c r="J36" s="25">
        <v>201566</v>
      </c>
      <c r="K36" s="22">
        <v>1581265</v>
      </c>
      <c r="L36" s="25">
        <v>114139</v>
      </c>
      <c r="M36" s="22">
        <v>1393679</v>
      </c>
      <c r="N36" s="25">
        <v>25168</v>
      </c>
      <c r="O36" s="22">
        <v>115633</v>
      </c>
      <c r="P36" s="25">
        <v>26851</v>
      </c>
      <c r="Q36" s="22">
        <v>1302262</v>
      </c>
      <c r="R36" s="25">
        <v>25683</v>
      </c>
      <c r="S36" s="23">
        <v>179832</v>
      </c>
    </row>
    <row r="37" spans="1:51" s="5" customFormat="1" ht="14.25" hidden="1">
      <c r="A37" s="16">
        <v>9101</v>
      </c>
      <c r="B37" s="17" t="e">
        <f>D37+F37+H37+J37+L37+N37+P37+R37+#REF!</f>
        <v>#REF!</v>
      </c>
      <c r="C37" s="18" t="e">
        <f>E37+G37+I37+K37+M37+O37+Q37+S37+#REF!</f>
        <v>#REF!</v>
      </c>
      <c r="D37" s="25">
        <v>80610</v>
      </c>
      <c r="E37" s="22">
        <v>80610</v>
      </c>
      <c r="F37" s="25">
        <v>257412</v>
      </c>
      <c r="G37" s="22">
        <v>257412</v>
      </c>
      <c r="H37" s="25">
        <v>9334</v>
      </c>
      <c r="I37" s="22">
        <v>9334</v>
      </c>
      <c r="J37" s="25">
        <v>92194</v>
      </c>
      <c r="K37" s="22">
        <v>92194</v>
      </c>
      <c r="L37" s="25">
        <v>152988</v>
      </c>
      <c r="M37" s="22">
        <v>152988</v>
      </c>
      <c r="N37" s="25">
        <v>3640</v>
      </c>
      <c r="O37" s="22">
        <v>3640</v>
      </c>
      <c r="P37" s="25">
        <v>321499</v>
      </c>
      <c r="Q37" s="22">
        <v>321499</v>
      </c>
      <c r="R37" s="25">
        <v>3302</v>
      </c>
      <c r="S37" s="23">
        <v>3302</v>
      </c>
    </row>
    <row r="38" spans="1:51" s="5" customFormat="1" ht="14.25" hidden="1">
      <c r="A38" s="16">
        <v>9102</v>
      </c>
      <c r="B38" s="17" t="e">
        <f>D38+F38+H38+J38+L38+N38+P38+R38+#REF!</f>
        <v>#REF!</v>
      </c>
      <c r="C38" s="18" t="e">
        <f>E38+G38+I38+K38+M38+O38+Q38+S38+#REF!</f>
        <v>#REF!</v>
      </c>
      <c r="D38" s="25">
        <v>225207</v>
      </c>
      <c r="E38" s="22">
        <v>302083</v>
      </c>
      <c r="F38" s="25">
        <v>587217</v>
      </c>
      <c r="G38" s="22">
        <v>848362</v>
      </c>
      <c r="H38" s="25">
        <v>46208</v>
      </c>
      <c r="I38" s="22">
        <v>55542</v>
      </c>
      <c r="J38" s="25">
        <v>285450</v>
      </c>
      <c r="K38" s="22">
        <v>377644</v>
      </c>
      <c r="L38" s="25">
        <v>106378</v>
      </c>
      <c r="M38" s="22">
        <v>259367</v>
      </c>
      <c r="N38" s="25">
        <v>9718</v>
      </c>
      <c r="O38" s="22">
        <v>13358</v>
      </c>
      <c r="P38" s="25">
        <v>62072</v>
      </c>
      <c r="Q38" s="22">
        <v>383571</v>
      </c>
      <c r="R38" s="25">
        <v>23602</v>
      </c>
      <c r="S38" s="23">
        <v>26904</v>
      </c>
    </row>
    <row r="39" spans="1:51" s="5" customFormat="1" ht="14.25" hidden="1">
      <c r="A39" s="16">
        <v>9103</v>
      </c>
      <c r="B39" s="17" t="e">
        <f>D39+F39+H39+J39+L39+N39+P39+R39+#REF!</f>
        <v>#REF!</v>
      </c>
      <c r="C39" s="18" t="e">
        <f>E39+G39+I39+K39+M39+O39+Q39+S39+#REF!</f>
        <v>#REF!</v>
      </c>
      <c r="D39" s="25">
        <v>90063</v>
      </c>
      <c r="E39" s="22">
        <v>392145</v>
      </c>
      <c r="F39" s="25">
        <v>271460</v>
      </c>
      <c r="G39" s="22">
        <v>1119823</v>
      </c>
      <c r="H39" s="25">
        <v>10135</v>
      </c>
      <c r="I39" s="22">
        <v>65677</v>
      </c>
      <c r="J39" s="25">
        <v>125086</v>
      </c>
      <c r="K39" s="22">
        <v>502730</v>
      </c>
      <c r="L39" s="25">
        <v>91865</v>
      </c>
      <c r="M39" s="22">
        <v>351232</v>
      </c>
      <c r="N39" s="25">
        <v>8097</v>
      </c>
      <c r="O39" s="22">
        <v>21455</v>
      </c>
      <c r="P39" s="25">
        <v>14456</v>
      </c>
      <c r="Q39" s="22">
        <v>398027</v>
      </c>
      <c r="R39" s="25">
        <v>16226</v>
      </c>
      <c r="S39" s="23">
        <v>43130</v>
      </c>
      <c r="T39" s="15"/>
      <c r="U39" s="15"/>
      <c r="V39" s="15"/>
    </row>
    <row r="40" spans="1:51" s="5" customFormat="1" ht="14.25" hidden="1">
      <c r="A40" s="16">
        <v>9104</v>
      </c>
      <c r="B40" s="17" t="e">
        <f>D40+F40+H40+J40+L40+N40+P40+R40+#REF!</f>
        <v>#REF!</v>
      </c>
      <c r="C40" s="18" t="e">
        <f>E40+G40+I40+K40+M40+O40+Q40+S40+#REF!</f>
        <v>#REF!</v>
      </c>
      <c r="D40" s="25">
        <v>109830</v>
      </c>
      <c r="E40" s="22">
        <v>501975</v>
      </c>
      <c r="F40" s="25">
        <v>270665</v>
      </c>
      <c r="G40" s="22">
        <v>1390488</v>
      </c>
      <c r="H40" s="25">
        <v>13096</v>
      </c>
      <c r="I40" s="22">
        <v>78773</v>
      </c>
      <c r="J40" s="25">
        <v>113985</v>
      </c>
      <c r="K40" s="22">
        <v>616715</v>
      </c>
      <c r="L40" s="25">
        <v>144030</v>
      </c>
      <c r="M40" s="22">
        <v>495262</v>
      </c>
      <c r="N40" s="25">
        <v>6434</v>
      </c>
      <c r="O40" s="22">
        <v>27889</v>
      </c>
      <c r="P40" s="25">
        <v>18390</v>
      </c>
      <c r="Q40" s="22">
        <v>416416</v>
      </c>
      <c r="R40" s="25">
        <v>22024</v>
      </c>
      <c r="S40" s="23">
        <v>65154</v>
      </c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s="5" customFormat="1" ht="14.25" hidden="1">
      <c r="A41" s="16">
        <v>9105</v>
      </c>
      <c r="B41" s="17" t="e">
        <f>D41+F41+H41+J41+L41+N41+P41+R41+#REF!</f>
        <v>#REF!</v>
      </c>
      <c r="C41" s="18" t="e">
        <f>E41+G41+I41+K41+M41+O41+Q41+S41+#REF!</f>
        <v>#REF!</v>
      </c>
      <c r="D41" s="25">
        <v>95045</v>
      </c>
      <c r="E41" s="22">
        <v>597021</v>
      </c>
      <c r="F41" s="25">
        <v>283801</v>
      </c>
      <c r="G41" s="22">
        <v>1674289</v>
      </c>
      <c r="H41" s="25">
        <v>16240</v>
      </c>
      <c r="I41" s="22">
        <v>95012</v>
      </c>
      <c r="J41" s="25">
        <v>115259</v>
      </c>
      <c r="K41" s="22">
        <v>731974</v>
      </c>
      <c r="L41" s="25">
        <v>115531</v>
      </c>
      <c r="M41" s="22">
        <v>610793</v>
      </c>
      <c r="N41" s="25">
        <v>8630</v>
      </c>
      <c r="O41" s="22">
        <v>36519</v>
      </c>
      <c r="P41" s="25">
        <v>6881</v>
      </c>
      <c r="Q41" s="22">
        <v>423297</v>
      </c>
      <c r="R41" s="25">
        <v>12923</v>
      </c>
      <c r="S41" s="23">
        <v>78077</v>
      </c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s="5" customFormat="1" ht="14.25" hidden="1">
      <c r="A42" s="16">
        <v>9106</v>
      </c>
      <c r="B42" s="17" t="e">
        <f>D42+F42+H42+J42+L42+N42+P42+R42+#REF!</f>
        <v>#REF!</v>
      </c>
      <c r="C42" s="18" t="e">
        <f>E42+G42+I42+K42+M42+O42+Q42+S42+#REF!</f>
        <v>#REF!</v>
      </c>
      <c r="D42" s="25">
        <v>109934</v>
      </c>
      <c r="E42" s="22">
        <v>706954</v>
      </c>
      <c r="F42" s="25">
        <v>273338</v>
      </c>
      <c r="G42" s="22">
        <v>1947627</v>
      </c>
      <c r="H42" s="25">
        <v>14865</v>
      </c>
      <c r="I42" s="22">
        <v>109877</v>
      </c>
      <c r="J42" s="25">
        <v>133320</v>
      </c>
      <c r="K42" s="22">
        <v>865295</v>
      </c>
      <c r="L42" s="25">
        <v>41921</v>
      </c>
      <c r="M42" s="22">
        <v>652714</v>
      </c>
      <c r="N42" s="25">
        <v>17948</v>
      </c>
      <c r="O42" s="22">
        <v>54467</v>
      </c>
      <c r="P42" s="25">
        <v>638</v>
      </c>
      <c r="Q42" s="22">
        <v>423935</v>
      </c>
      <c r="R42" s="25">
        <v>11838</v>
      </c>
      <c r="S42" s="23">
        <v>89915</v>
      </c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s="5" customFormat="1" ht="14.25" hidden="1">
      <c r="A43" s="16">
        <v>9107</v>
      </c>
      <c r="B43" s="17" t="e">
        <f>D43+F43+H43+J43+L43+N43+P43+R43+#REF!</f>
        <v>#REF!</v>
      </c>
      <c r="C43" s="18" t="e">
        <f>E43+G43+I43+K43+M43+O43+Q43+S43+#REF!</f>
        <v>#REF!</v>
      </c>
      <c r="D43" s="28">
        <v>102062</v>
      </c>
      <c r="E43" s="29">
        <v>809017</v>
      </c>
      <c r="F43" s="28">
        <v>268050</v>
      </c>
      <c r="G43" s="29">
        <v>2215677</v>
      </c>
      <c r="H43" s="28">
        <v>26060</v>
      </c>
      <c r="I43" s="29">
        <v>135938</v>
      </c>
      <c r="J43" s="28">
        <v>120921</v>
      </c>
      <c r="K43" s="29">
        <v>986215</v>
      </c>
      <c r="L43" s="28">
        <v>91600</v>
      </c>
      <c r="M43" s="29">
        <v>744314</v>
      </c>
      <c r="N43" s="28">
        <v>6445</v>
      </c>
      <c r="O43" s="29">
        <v>60911</v>
      </c>
      <c r="P43" s="28">
        <v>306889</v>
      </c>
      <c r="Q43" s="29">
        <v>730824</v>
      </c>
      <c r="R43" s="28">
        <v>18882</v>
      </c>
      <c r="S43" s="51">
        <v>108797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idden="1">
      <c r="A44" s="16">
        <v>9108</v>
      </c>
      <c r="B44" s="17" t="e">
        <f>D44+F44+H44+J44+L44+N44+P44+R44+#REF!</f>
        <v>#REF!</v>
      </c>
      <c r="C44" s="18" t="e">
        <f>E44+G44+I44+K44+M44+O44+Q44+S44+#REF!</f>
        <v>#REF!</v>
      </c>
      <c r="D44" s="30">
        <v>85767</v>
      </c>
      <c r="E44" s="31">
        <v>894783</v>
      </c>
      <c r="F44" s="30">
        <v>236179</v>
      </c>
      <c r="G44" s="31">
        <v>2451856</v>
      </c>
      <c r="H44" s="30">
        <v>36208</v>
      </c>
      <c r="I44" s="31">
        <v>172146</v>
      </c>
      <c r="J44" s="30">
        <v>115338</v>
      </c>
      <c r="K44" s="31">
        <v>1101553</v>
      </c>
      <c r="L44" s="30">
        <v>107738</v>
      </c>
      <c r="M44" s="31">
        <v>852052</v>
      </c>
      <c r="N44" s="30">
        <v>8737</v>
      </c>
      <c r="O44" s="31">
        <v>69649</v>
      </c>
      <c r="P44" s="30">
        <v>121491</v>
      </c>
      <c r="Q44" s="31">
        <v>852315</v>
      </c>
      <c r="R44" s="30">
        <v>7892</v>
      </c>
      <c r="S44" s="52">
        <v>116689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idden="1">
      <c r="A45" s="16">
        <v>9109</v>
      </c>
      <c r="B45" s="17" t="e">
        <f>D45+F45+H45+J45+L45+N45+P45+R45+#REF!</f>
        <v>#REF!</v>
      </c>
      <c r="C45" s="18" t="e">
        <f>E45+G45+I45+K45+M45+O45+Q45+S45+#REF!</f>
        <v>#REF!</v>
      </c>
      <c r="D45" s="28">
        <v>94685</v>
      </c>
      <c r="E45" s="31">
        <v>989469</v>
      </c>
      <c r="F45" s="30">
        <v>390215</v>
      </c>
      <c r="G45" s="31">
        <v>2842071</v>
      </c>
      <c r="H45" s="30">
        <v>48004</v>
      </c>
      <c r="I45" s="31">
        <v>220150</v>
      </c>
      <c r="J45" s="30">
        <v>128639</v>
      </c>
      <c r="K45" s="31">
        <v>1230192</v>
      </c>
      <c r="L45" s="30">
        <v>102704</v>
      </c>
      <c r="M45" s="31">
        <v>954756</v>
      </c>
      <c r="N45" s="30">
        <v>6872</v>
      </c>
      <c r="O45" s="31">
        <v>76521</v>
      </c>
      <c r="P45" s="30">
        <v>11205</v>
      </c>
      <c r="Q45" s="31">
        <v>863519.3</v>
      </c>
      <c r="R45" s="30">
        <v>8470</v>
      </c>
      <c r="S45" s="52">
        <v>125159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idden="1">
      <c r="A46" s="16">
        <v>9110</v>
      </c>
      <c r="B46" s="17" t="e">
        <f>D46+F46+H46+J46+L46+N46+P46+R46+#REF!</f>
        <v>#REF!</v>
      </c>
      <c r="C46" s="18" t="e">
        <f>E46+G46+I46+K46+M46+O46+Q46+S46+#REF!</f>
        <v>#REF!</v>
      </c>
      <c r="D46" s="28">
        <v>141904</v>
      </c>
      <c r="E46" s="31">
        <v>1131373</v>
      </c>
      <c r="F46" s="30">
        <v>494389</v>
      </c>
      <c r="G46" s="31">
        <v>3336461</v>
      </c>
      <c r="H46" s="30">
        <v>153786</v>
      </c>
      <c r="I46" s="31">
        <v>373936</v>
      </c>
      <c r="J46" s="30">
        <v>124104</v>
      </c>
      <c r="K46" s="31">
        <v>1354295</v>
      </c>
      <c r="L46" s="30">
        <v>195419</v>
      </c>
      <c r="M46" s="31">
        <v>1150174</v>
      </c>
      <c r="N46" s="30">
        <v>8724</v>
      </c>
      <c r="O46" s="31">
        <v>85245</v>
      </c>
      <c r="P46" s="30">
        <v>21763</v>
      </c>
      <c r="Q46" s="31">
        <v>885283</v>
      </c>
      <c r="R46" s="30">
        <v>21594</v>
      </c>
      <c r="S46" s="52">
        <v>146753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idden="1">
      <c r="A47" s="16">
        <v>9111</v>
      </c>
      <c r="B47" s="17" t="e">
        <f>D47+F47+H47+J47+L47+N47+P47+R47+#REF!</f>
        <v>#REF!</v>
      </c>
      <c r="C47" s="17" t="e">
        <f>E47+G47+I47+K47+M47+O47+Q47+S47+#REF!</f>
        <v>#REF!</v>
      </c>
      <c r="D47" s="28">
        <v>124281</v>
      </c>
      <c r="E47" s="30">
        <v>1255653</v>
      </c>
      <c r="F47" s="30">
        <v>322472</v>
      </c>
      <c r="G47" s="31">
        <v>3658933</v>
      </c>
      <c r="H47" s="30">
        <v>103551</v>
      </c>
      <c r="I47" s="30">
        <v>477487</v>
      </c>
      <c r="J47" s="30">
        <v>126731</v>
      </c>
      <c r="K47" s="30">
        <v>1481027</v>
      </c>
      <c r="L47" s="30">
        <v>108025</v>
      </c>
      <c r="M47" s="30">
        <v>1258199</v>
      </c>
      <c r="N47" s="30">
        <v>28257</v>
      </c>
      <c r="O47" s="30">
        <v>113502</v>
      </c>
      <c r="P47" s="30">
        <v>10656</v>
      </c>
      <c r="Q47" s="30">
        <v>895939</v>
      </c>
      <c r="R47" s="30">
        <v>11505</v>
      </c>
      <c r="S47" s="52">
        <v>158258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idden="1">
      <c r="A48" s="16">
        <v>9112</v>
      </c>
      <c r="B48" s="17" t="e">
        <f>D48+F48+H48+J48+L48+N48+P48+R48+#REF!</f>
        <v>#REF!</v>
      </c>
      <c r="C48" s="17" t="e">
        <f>E48+G48+I48+K48+M48+O48+Q48+S48+#REF!</f>
        <v>#REF!</v>
      </c>
      <c r="D48" s="32">
        <v>171909</v>
      </c>
      <c r="E48" s="32">
        <v>1427562</v>
      </c>
      <c r="F48" s="32">
        <v>468369</v>
      </c>
      <c r="G48" s="32">
        <v>4127302</v>
      </c>
      <c r="H48" s="32">
        <v>282797</v>
      </c>
      <c r="I48" s="32">
        <v>760284</v>
      </c>
      <c r="J48" s="32">
        <v>186319</v>
      </c>
      <c r="K48" s="32">
        <v>1667346</v>
      </c>
      <c r="L48" s="32">
        <v>161644</v>
      </c>
      <c r="M48" s="32">
        <v>1419843</v>
      </c>
      <c r="N48" s="32">
        <v>56368</v>
      </c>
      <c r="O48" s="32">
        <v>169870</v>
      </c>
      <c r="P48" s="32">
        <v>411177</v>
      </c>
      <c r="Q48" s="32">
        <v>1307116</v>
      </c>
      <c r="R48" s="32">
        <v>10937</v>
      </c>
      <c r="S48" s="53">
        <v>169195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19" hidden="1">
      <c r="A49" s="33">
        <v>9201</v>
      </c>
      <c r="B49" s="17" t="e">
        <f>D49+F49+H49+J49+L49+N49+P49+R49+#REF!</f>
        <v>#REF!</v>
      </c>
      <c r="C49" s="17" t="e">
        <f>E49+G49+I49+K49+M49+O49+Q49+S49+#REF!</f>
        <v>#REF!</v>
      </c>
      <c r="D49" s="17">
        <v>264386</v>
      </c>
      <c r="E49" s="17">
        <v>264386</v>
      </c>
      <c r="F49" s="17">
        <v>767274</v>
      </c>
      <c r="G49" s="17">
        <v>767274</v>
      </c>
      <c r="H49" s="17">
        <v>11021</v>
      </c>
      <c r="I49" s="17">
        <v>11021</v>
      </c>
      <c r="J49" s="17">
        <v>370217</v>
      </c>
      <c r="K49" s="17">
        <v>370217</v>
      </c>
      <c r="L49" s="17">
        <v>207030</v>
      </c>
      <c r="M49" s="17">
        <v>207030</v>
      </c>
      <c r="N49" s="17">
        <v>11116</v>
      </c>
      <c r="O49" s="17">
        <v>11116</v>
      </c>
      <c r="P49" s="17">
        <v>395122</v>
      </c>
      <c r="Q49" s="17">
        <v>395122</v>
      </c>
      <c r="R49" s="17">
        <v>7073</v>
      </c>
      <c r="S49" s="20">
        <v>7073</v>
      </c>
    </row>
    <row r="50" spans="1:19" hidden="1">
      <c r="A50" s="33">
        <v>9202</v>
      </c>
      <c r="B50" s="17" t="e">
        <f>D50+F50+H50+J50+L50+N50+P50+R50+#REF!</f>
        <v>#REF!</v>
      </c>
      <c r="C50" s="17" t="e">
        <f>E50+G50+I50+K50+M50+O50+Q50+S50+#REF!</f>
        <v>#REF!</v>
      </c>
      <c r="D50" s="17">
        <v>20430</v>
      </c>
      <c r="E50" s="17">
        <v>284816</v>
      </c>
      <c r="F50" s="17">
        <v>36143</v>
      </c>
      <c r="G50" s="17">
        <v>803418</v>
      </c>
      <c r="H50" s="17">
        <v>6804</v>
      </c>
      <c r="I50" s="17">
        <v>17825</v>
      </c>
      <c r="J50" s="17">
        <v>21522</v>
      </c>
      <c r="K50" s="17">
        <v>391739</v>
      </c>
      <c r="L50" s="17">
        <v>5152</v>
      </c>
      <c r="M50" s="17">
        <v>212181</v>
      </c>
      <c r="N50" s="17">
        <v>2081</v>
      </c>
      <c r="O50" s="17">
        <v>13197</v>
      </c>
      <c r="P50" s="17">
        <v>41421</v>
      </c>
      <c r="Q50" s="17">
        <v>436543</v>
      </c>
      <c r="R50" s="17">
        <v>7748</v>
      </c>
      <c r="S50" s="20">
        <v>14821</v>
      </c>
    </row>
    <row r="51" spans="1:19" hidden="1">
      <c r="A51" s="33">
        <v>9203</v>
      </c>
      <c r="B51" s="17" t="e">
        <f>D51+F51+H51+J51+L51+N51+P51+R51+#REF!</f>
        <v>#REF!</v>
      </c>
      <c r="C51" s="17" t="e">
        <f>E51+G51+I51+K51+M51+O51+Q51+S51+#REF!</f>
        <v>#REF!</v>
      </c>
      <c r="D51" s="17">
        <v>93156</v>
      </c>
      <c r="E51" s="17">
        <v>377972</v>
      </c>
      <c r="F51" s="17">
        <v>291459</v>
      </c>
      <c r="G51" s="17">
        <v>1094876</v>
      </c>
      <c r="H51" s="17">
        <v>8195</v>
      </c>
      <c r="I51" s="17">
        <v>26020</v>
      </c>
      <c r="J51" s="17">
        <v>121058</v>
      </c>
      <c r="K51" s="17">
        <v>512796</v>
      </c>
      <c r="L51" s="17">
        <v>102885</v>
      </c>
      <c r="M51" s="17">
        <v>315067</v>
      </c>
      <c r="N51" s="17">
        <v>4357</v>
      </c>
      <c r="O51" s="17">
        <v>17554</v>
      </c>
      <c r="P51" s="17">
        <v>20673</v>
      </c>
      <c r="Q51" s="17">
        <v>457215</v>
      </c>
      <c r="R51" s="17">
        <v>7200</v>
      </c>
      <c r="S51" s="20">
        <v>22022</v>
      </c>
    </row>
    <row r="52" spans="1:19" hidden="1">
      <c r="A52" s="33">
        <v>9204</v>
      </c>
      <c r="B52" s="17" t="e">
        <f>D52+F52+H52+J52+L52+N52+P52+R52+#REF!</f>
        <v>#REF!</v>
      </c>
      <c r="C52" s="17" t="e">
        <f>E52+G52+I52+K52+M52+O52+Q52+S52+#REF!</f>
        <v>#REF!</v>
      </c>
      <c r="D52" s="17">
        <v>104081</v>
      </c>
      <c r="E52" s="17">
        <v>482052</v>
      </c>
      <c r="F52" s="17">
        <v>273692</v>
      </c>
      <c r="G52" s="17">
        <v>1368568</v>
      </c>
      <c r="H52" s="17">
        <v>14564</v>
      </c>
      <c r="I52" s="17">
        <v>40584</v>
      </c>
      <c r="J52" s="17">
        <v>110780</v>
      </c>
      <c r="K52" s="17">
        <v>623577</v>
      </c>
      <c r="L52" s="17">
        <v>143524</v>
      </c>
      <c r="M52" s="17">
        <v>458591</v>
      </c>
      <c r="N52" s="17">
        <v>5980</v>
      </c>
      <c r="O52" s="17">
        <v>23535</v>
      </c>
      <c r="P52" s="17">
        <v>22282</v>
      </c>
      <c r="Q52" s="17">
        <v>479497</v>
      </c>
      <c r="R52" s="17">
        <v>8839</v>
      </c>
      <c r="S52" s="20">
        <v>30861</v>
      </c>
    </row>
    <row r="53" spans="1:19" hidden="1">
      <c r="A53" s="33">
        <v>9205</v>
      </c>
      <c r="B53" s="17" t="e">
        <f>D53+F53+H53+J53+L53+N53+P53+R53+#REF!</f>
        <v>#REF!</v>
      </c>
      <c r="C53" s="17" t="e">
        <f>E53+G53+I53+K53+M53+O53+Q53+S53+#REF!</f>
        <v>#REF!</v>
      </c>
      <c r="D53" s="17">
        <v>112051</v>
      </c>
      <c r="E53" s="17">
        <v>594104</v>
      </c>
      <c r="F53" s="17">
        <v>331388</v>
      </c>
      <c r="G53" s="17">
        <v>1699955</v>
      </c>
      <c r="H53" s="17">
        <v>36973</v>
      </c>
      <c r="I53" s="17">
        <v>77557</v>
      </c>
      <c r="J53" s="17">
        <v>130401</v>
      </c>
      <c r="K53" s="17">
        <v>753978</v>
      </c>
      <c r="L53" s="17">
        <v>126417</v>
      </c>
      <c r="M53" s="17">
        <v>585007</v>
      </c>
      <c r="N53" s="17">
        <v>10208</v>
      </c>
      <c r="O53" s="17">
        <v>33743</v>
      </c>
      <c r="P53" s="17">
        <v>3666</v>
      </c>
      <c r="Q53" s="17">
        <v>483164</v>
      </c>
      <c r="R53" s="17">
        <v>7077</v>
      </c>
      <c r="S53" s="20">
        <v>37938</v>
      </c>
    </row>
    <row r="54" spans="1:19" hidden="1">
      <c r="A54" s="33">
        <v>9206</v>
      </c>
      <c r="B54" s="17" t="e">
        <f>D54+F54+H54+J54+L54+N54+P54+R54+#REF!</f>
        <v>#REF!</v>
      </c>
      <c r="C54" s="17" t="e">
        <f>E54+G54+I54+K54+M54+O54+Q54+S54+#REF!</f>
        <v>#REF!</v>
      </c>
      <c r="D54" s="17">
        <v>106629</v>
      </c>
      <c r="E54" s="17">
        <v>700733</v>
      </c>
      <c r="F54" s="17">
        <v>276359</v>
      </c>
      <c r="G54" s="17">
        <v>1976314</v>
      </c>
      <c r="H54" s="17">
        <v>30871</v>
      </c>
      <c r="I54" s="17">
        <v>108428</v>
      </c>
      <c r="J54" s="17">
        <v>113240</v>
      </c>
      <c r="K54" s="17">
        <v>867218</v>
      </c>
      <c r="L54" s="17">
        <v>106685</v>
      </c>
      <c r="M54" s="17">
        <v>691692</v>
      </c>
      <c r="N54" s="17">
        <v>8979</v>
      </c>
      <c r="O54" s="17">
        <v>42722</v>
      </c>
      <c r="P54" s="17">
        <v>5743</v>
      </c>
      <c r="Q54" s="17">
        <v>488907</v>
      </c>
      <c r="R54" s="17">
        <v>6023</v>
      </c>
      <c r="S54" s="20">
        <v>43960</v>
      </c>
    </row>
    <row r="55" spans="1:19" hidden="1">
      <c r="A55" s="33">
        <v>9207</v>
      </c>
      <c r="B55" s="17" t="e">
        <f>D55+F55+H55+J55+L55+N55+P55+R55+#REF!</f>
        <v>#REF!</v>
      </c>
      <c r="C55" s="17" t="e">
        <f>E55+G55+I55+K55+M55+O55+Q55+S55+#REF!</f>
        <v>#REF!</v>
      </c>
      <c r="D55" s="17">
        <v>93364</v>
      </c>
      <c r="E55" s="17">
        <v>794097</v>
      </c>
      <c r="F55" s="17">
        <v>294096</v>
      </c>
      <c r="G55" s="17">
        <v>2270410</v>
      </c>
      <c r="H55" s="17">
        <v>47851</v>
      </c>
      <c r="I55" s="17">
        <v>156279</v>
      </c>
      <c r="J55" s="17">
        <v>120993</v>
      </c>
      <c r="K55" s="17">
        <v>988210</v>
      </c>
      <c r="L55" s="17">
        <v>141851</v>
      </c>
      <c r="M55" s="17">
        <v>833544</v>
      </c>
      <c r="N55" s="17">
        <v>7986</v>
      </c>
      <c r="O55" s="17">
        <v>50708</v>
      </c>
      <c r="P55" s="17">
        <v>349772</v>
      </c>
      <c r="Q55" s="17">
        <v>838679</v>
      </c>
      <c r="R55" s="17">
        <v>5455</v>
      </c>
      <c r="S55" s="20">
        <v>49416</v>
      </c>
    </row>
    <row r="56" spans="1:19" hidden="1">
      <c r="A56" s="33">
        <v>9208</v>
      </c>
      <c r="B56" s="17" t="e">
        <f>D56+F56+H56+J56+L56+N56+P56+R56+#REF!</f>
        <v>#REF!</v>
      </c>
      <c r="C56" s="17" t="e">
        <f>E56+G56+I56+K56+M56+O56+Q56+S56+#REF!</f>
        <v>#REF!</v>
      </c>
      <c r="D56" s="17">
        <v>92485</v>
      </c>
      <c r="E56" s="17">
        <v>886581</v>
      </c>
      <c r="F56" s="17">
        <v>258073</v>
      </c>
      <c r="G56" s="17">
        <v>2528483</v>
      </c>
      <c r="H56" s="17">
        <v>39723</v>
      </c>
      <c r="I56" s="17">
        <v>196002</v>
      </c>
      <c r="J56" s="17">
        <v>123611</v>
      </c>
      <c r="K56" s="17">
        <v>1111822</v>
      </c>
      <c r="L56" s="17">
        <v>137216</v>
      </c>
      <c r="M56" s="17">
        <v>970759</v>
      </c>
      <c r="N56" s="17">
        <v>13449</v>
      </c>
      <c r="O56" s="17">
        <v>64157</v>
      </c>
      <c r="P56" s="17">
        <v>108878</v>
      </c>
      <c r="Q56" s="17">
        <v>947557</v>
      </c>
      <c r="R56" s="17">
        <v>5924</v>
      </c>
      <c r="S56" s="20">
        <v>55340</v>
      </c>
    </row>
    <row r="57" spans="1:19" hidden="1">
      <c r="A57" s="33">
        <v>9209</v>
      </c>
      <c r="B57" s="17" t="e">
        <f>D57+F57+H57+J57+L57+N57+P57+R57+#REF!</f>
        <v>#REF!</v>
      </c>
      <c r="C57" s="17" t="e">
        <f>E57+G57+I57+K57+M57+O57+Q57+S57+#REF!</f>
        <v>#REF!</v>
      </c>
      <c r="D57" s="17">
        <v>100271</v>
      </c>
      <c r="E57" s="17">
        <v>986852</v>
      </c>
      <c r="F57" s="17">
        <v>400993</v>
      </c>
      <c r="G57" s="17">
        <v>2929476</v>
      </c>
      <c r="H57" s="17">
        <v>33492</v>
      </c>
      <c r="I57" s="17">
        <v>229494</v>
      </c>
      <c r="J57" s="17">
        <v>117169</v>
      </c>
      <c r="K57" s="17">
        <v>1228991</v>
      </c>
      <c r="L57" s="17">
        <v>96966</v>
      </c>
      <c r="M57" s="17">
        <v>1067725</v>
      </c>
      <c r="N57" s="17">
        <v>8174</v>
      </c>
      <c r="O57" s="17">
        <v>72331</v>
      </c>
      <c r="P57" s="17">
        <v>10678</v>
      </c>
      <c r="Q57" s="17">
        <v>958235</v>
      </c>
      <c r="R57" s="17">
        <v>8753</v>
      </c>
      <c r="S57" s="20">
        <v>64093</v>
      </c>
    </row>
    <row r="58" spans="1:19" hidden="1">
      <c r="A58" s="33">
        <v>9210</v>
      </c>
      <c r="B58" s="17" t="e">
        <f>D58+F58+H58+J58+L58+N58+P58+R58+#REF!</f>
        <v>#REF!</v>
      </c>
      <c r="C58" s="17" t="e">
        <f>E58+G58+I58+K58+M58+O58+Q58+S58+#REF!</f>
        <v>#REF!</v>
      </c>
      <c r="D58" s="17">
        <v>93811</v>
      </c>
      <c r="E58" s="17">
        <v>1080663</v>
      </c>
      <c r="F58" s="17">
        <v>442435</v>
      </c>
      <c r="G58" s="17">
        <v>3371911</v>
      </c>
      <c r="H58" s="17">
        <v>62620</v>
      </c>
      <c r="I58" s="17">
        <v>292114</v>
      </c>
      <c r="J58" s="17">
        <v>122929</v>
      </c>
      <c r="K58" s="17">
        <v>1351920</v>
      </c>
      <c r="L58" s="17">
        <v>136561</v>
      </c>
      <c r="M58" s="17">
        <v>1204286</v>
      </c>
      <c r="N58" s="17">
        <v>16909</v>
      </c>
      <c r="O58" s="17">
        <v>89240</v>
      </c>
      <c r="P58" s="17">
        <v>15128</v>
      </c>
      <c r="Q58" s="17">
        <v>973363</v>
      </c>
      <c r="R58" s="17">
        <v>5381</v>
      </c>
      <c r="S58" s="20">
        <v>69474</v>
      </c>
    </row>
    <row r="59" spans="1:19" hidden="1">
      <c r="A59" s="33">
        <v>9211</v>
      </c>
      <c r="B59" s="17" t="e">
        <f>D59+F59+H59+J59+L59+N59+P59+R59+#REF!</f>
        <v>#REF!</v>
      </c>
      <c r="C59" s="17" t="e">
        <f>E59+G59+I59+K59+M59+O59+Q59+S59+#REF!</f>
        <v>#REF!</v>
      </c>
      <c r="D59" s="17">
        <v>125230</v>
      </c>
      <c r="E59" s="17">
        <v>1205894</v>
      </c>
      <c r="F59" s="17">
        <v>335042</v>
      </c>
      <c r="G59" s="17">
        <v>3706953</v>
      </c>
      <c r="H59" s="17">
        <v>61813</v>
      </c>
      <c r="I59" s="17">
        <v>353927</v>
      </c>
      <c r="J59" s="17">
        <v>127553</v>
      </c>
      <c r="K59" s="17">
        <v>1479473</v>
      </c>
      <c r="L59" s="17">
        <v>110579</v>
      </c>
      <c r="M59" s="17">
        <v>1314865</v>
      </c>
      <c r="N59" s="17">
        <v>7871</v>
      </c>
      <c r="O59" s="17">
        <v>97111</v>
      </c>
      <c r="P59" s="17">
        <v>371249</v>
      </c>
      <c r="Q59" s="17">
        <v>1344611</v>
      </c>
      <c r="R59" s="17">
        <v>5686</v>
      </c>
      <c r="S59" s="20">
        <v>75160</v>
      </c>
    </row>
    <row r="60" spans="1:19" hidden="1">
      <c r="A60" s="33">
        <v>9212</v>
      </c>
      <c r="B60" s="17" t="e">
        <f>D60+F60+H60+J60+L60+N60+P60+R60+#REF!</f>
        <v>#REF!</v>
      </c>
      <c r="C60" s="17" t="e">
        <f>E60+G60+I60+K60+M60+O60+Q60+S60+#REF!</f>
        <v>#REF!</v>
      </c>
      <c r="D60" s="17">
        <v>204516</v>
      </c>
      <c r="E60" s="17">
        <v>1410409</v>
      </c>
      <c r="F60" s="17">
        <v>428890</v>
      </c>
      <c r="G60" s="17">
        <v>4135843</v>
      </c>
      <c r="H60" s="17">
        <v>499290</v>
      </c>
      <c r="I60" s="17">
        <v>853217</v>
      </c>
      <c r="J60" s="17">
        <v>254106</v>
      </c>
      <c r="K60" s="17">
        <v>1733579</v>
      </c>
      <c r="L60" s="17">
        <v>187164</v>
      </c>
      <c r="M60" s="17">
        <v>1502029</v>
      </c>
      <c r="N60" s="17">
        <v>188219</v>
      </c>
      <c r="O60" s="17">
        <v>285331</v>
      </c>
      <c r="P60" s="17">
        <v>105435</v>
      </c>
      <c r="Q60" s="17">
        <v>1450047</v>
      </c>
      <c r="R60" s="17">
        <v>6564</v>
      </c>
      <c r="S60" s="20">
        <v>81723</v>
      </c>
    </row>
    <row r="61" spans="1:19" hidden="1">
      <c r="A61" s="33">
        <v>9301</v>
      </c>
      <c r="B61" s="18" t="e">
        <f>D61+F61+H61+J61+L61+N61+P61+R61+#REF!</f>
        <v>#REF!</v>
      </c>
      <c r="C61" s="17" t="e">
        <f>E61+G61+I61+K61+M61+O61+Q61+S61+#REF!</f>
        <v>#REF!</v>
      </c>
      <c r="D61" s="17">
        <v>217071</v>
      </c>
      <c r="E61" s="17">
        <v>217071</v>
      </c>
      <c r="F61" s="17">
        <v>583600</v>
      </c>
      <c r="G61" s="17">
        <v>583600</v>
      </c>
      <c r="H61" s="17">
        <v>10006</v>
      </c>
      <c r="I61" s="17">
        <v>10006</v>
      </c>
      <c r="J61" s="17">
        <v>285670</v>
      </c>
      <c r="K61" s="17">
        <v>285670</v>
      </c>
      <c r="L61" s="17">
        <v>177523</v>
      </c>
      <c r="M61" s="17">
        <v>177523</v>
      </c>
      <c r="N61" s="17">
        <v>7974</v>
      </c>
      <c r="O61" s="17">
        <v>7974</v>
      </c>
      <c r="P61" s="17">
        <v>440474</v>
      </c>
      <c r="Q61" s="17">
        <v>440474</v>
      </c>
      <c r="R61" s="17">
        <v>6705</v>
      </c>
      <c r="S61" s="20">
        <v>6705</v>
      </c>
    </row>
    <row r="62" spans="1:19" hidden="1">
      <c r="A62" s="33">
        <v>9302</v>
      </c>
      <c r="B62" s="18" t="e">
        <f>D62+F62+H62+J62+L62+N62+P62+R62+#REF!</f>
        <v>#REF!</v>
      </c>
      <c r="C62" s="17" t="e">
        <f>E62+G62+I62+K62+M62+O62+Q62+S62+#REF!</f>
        <v>#REF!</v>
      </c>
      <c r="D62" s="17">
        <v>84622</v>
      </c>
      <c r="E62" s="17">
        <v>301693</v>
      </c>
      <c r="F62" s="17">
        <v>252676</v>
      </c>
      <c r="G62" s="17">
        <v>836277</v>
      </c>
      <c r="H62" s="17">
        <v>14887</v>
      </c>
      <c r="I62" s="17">
        <v>24893</v>
      </c>
      <c r="J62" s="17">
        <v>109282</v>
      </c>
      <c r="K62" s="17">
        <v>394951</v>
      </c>
      <c r="L62" s="17">
        <v>102266</v>
      </c>
      <c r="M62" s="17">
        <v>279789</v>
      </c>
      <c r="N62" s="17">
        <v>7193</v>
      </c>
      <c r="O62" s="17">
        <v>15167</v>
      </c>
      <c r="P62" s="17">
        <v>39907</v>
      </c>
      <c r="Q62" s="17">
        <v>480381</v>
      </c>
      <c r="R62" s="17">
        <v>6704</v>
      </c>
      <c r="S62" s="20">
        <v>13409</v>
      </c>
    </row>
    <row r="63" spans="1:19" hidden="1">
      <c r="A63" s="33">
        <v>9303</v>
      </c>
      <c r="B63" s="18" t="e">
        <f>D63+F63+H63+J63+L63+N63+P63+R63+#REF!</f>
        <v>#REF!</v>
      </c>
      <c r="C63" s="17" t="e">
        <f>E63+G63+I63+K63+M63+O63+Q63+S63+#REF!</f>
        <v>#REF!</v>
      </c>
      <c r="D63" s="17">
        <v>103586</v>
      </c>
      <c r="E63" s="17">
        <v>405279</v>
      </c>
      <c r="F63" s="17">
        <v>300470</v>
      </c>
      <c r="G63" s="17">
        <v>1136747</v>
      </c>
      <c r="H63" s="17">
        <v>20480</v>
      </c>
      <c r="I63" s="17">
        <v>45373</v>
      </c>
      <c r="J63" s="17">
        <v>116598</v>
      </c>
      <c r="K63" s="17">
        <v>511550</v>
      </c>
      <c r="L63" s="17">
        <v>109703</v>
      </c>
      <c r="M63" s="17">
        <v>389492</v>
      </c>
      <c r="N63" s="17">
        <v>5048</v>
      </c>
      <c r="O63" s="17">
        <v>20215</v>
      </c>
      <c r="P63" s="17">
        <v>28485</v>
      </c>
      <c r="Q63" s="17">
        <v>508865</v>
      </c>
      <c r="R63" s="17">
        <v>6562</v>
      </c>
      <c r="S63" s="20">
        <v>19971</v>
      </c>
    </row>
    <row r="64" spans="1:19" hidden="1">
      <c r="A64" s="33">
        <v>9304</v>
      </c>
      <c r="B64" s="18" t="e">
        <f>D64+F64+H64+J64+L64+N64+P64+R64+#REF!</f>
        <v>#REF!</v>
      </c>
      <c r="C64" s="17" t="e">
        <f>E64+G64+I64+K64+M64+O64+Q64+S64+#REF!</f>
        <v>#REF!</v>
      </c>
      <c r="D64" s="17">
        <v>99377</v>
      </c>
      <c r="E64" s="17">
        <v>504656</v>
      </c>
      <c r="F64" s="17">
        <v>285773</v>
      </c>
      <c r="G64" s="17">
        <v>1422521</v>
      </c>
      <c r="H64" s="17">
        <v>25746</v>
      </c>
      <c r="I64" s="17">
        <v>71119</v>
      </c>
      <c r="J64" s="17">
        <v>113589</v>
      </c>
      <c r="K64" s="17">
        <v>625138</v>
      </c>
      <c r="L64" s="17">
        <v>97929</v>
      </c>
      <c r="M64" s="17">
        <v>487421</v>
      </c>
      <c r="N64" s="17">
        <v>5449</v>
      </c>
      <c r="O64" s="17">
        <v>25664</v>
      </c>
      <c r="P64" s="17">
        <v>11016</v>
      </c>
      <c r="Q64" s="17">
        <v>519881</v>
      </c>
      <c r="R64" s="17">
        <v>5572</v>
      </c>
      <c r="S64" s="20">
        <v>25543</v>
      </c>
    </row>
    <row r="65" spans="1:19" hidden="1">
      <c r="A65" s="33">
        <v>9305</v>
      </c>
      <c r="B65" s="18" t="e">
        <f>D65+F65+H65+J65+L65+N65+P65+R65+#REF!</f>
        <v>#REF!</v>
      </c>
      <c r="C65" s="17" t="e">
        <f>E65+G65+I65+K65+M65+O65+Q65+S65+#REF!</f>
        <v>#REF!</v>
      </c>
      <c r="D65" s="17">
        <v>96422</v>
      </c>
      <c r="E65" s="17">
        <v>601078</v>
      </c>
      <c r="F65" s="17">
        <v>310687</v>
      </c>
      <c r="G65" s="17">
        <v>1733208</v>
      </c>
      <c r="H65" s="17">
        <v>26853</v>
      </c>
      <c r="I65" s="17">
        <v>97972</v>
      </c>
      <c r="J65" s="17">
        <v>125971</v>
      </c>
      <c r="K65" s="17">
        <v>751109</v>
      </c>
      <c r="L65" s="17">
        <v>137782</v>
      </c>
      <c r="M65" s="17">
        <v>625203</v>
      </c>
      <c r="N65" s="17">
        <v>4442</v>
      </c>
      <c r="O65" s="17">
        <v>30107</v>
      </c>
      <c r="P65" s="17">
        <v>10252</v>
      </c>
      <c r="Q65" s="17">
        <v>530133</v>
      </c>
      <c r="R65" s="17">
        <v>6281</v>
      </c>
      <c r="S65" s="20">
        <v>31823</v>
      </c>
    </row>
    <row r="66" spans="1:19" hidden="1">
      <c r="A66" s="33">
        <v>9306</v>
      </c>
      <c r="B66" s="18" t="e">
        <f>D66+F66+H66+J66+L66+N66+P66+R66+#REF!</f>
        <v>#REF!</v>
      </c>
      <c r="C66" s="17" t="e">
        <f>E66+G66+I66+K66+M66+O66+Q66+S66+#REF!</f>
        <v>#REF!</v>
      </c>
      <c r="D66" s="17">
        <v>107437</v>
      </c>
      <c r="E66" s="17">
        <v>708515</v>
      </c>
      <c r="F66" s="17">
        <v>324075</v>
      </c>
      <c r="G66" s="17">
        <v>2057282</v>
      </c>
      <c r="H66" s="17">
        <v>92496</v>
      </c>
      <c r="I66" s="17">
        <v>190468</v>
      </c>
      <c r="J66" s="17">
        <v>122851</v>
      </c>
      <c r="K66" s="17">
        <v>873960</v>
      </c>
      <c r="L66" s="17">
        <v>109937</v>
      </c>
      <c r="M66" s="17">
        <v>735140</v>
      </c>
      <c r="N66" s="17">
        <v>7596</v>
      </c>
      <c r="O66" s="17">
        <v>37703</v>
      </c>
      <c r="P66" s="17">
        <v>5669</v>
      </c>
      <c r="Q66" s="17">
        <v>535802</v>
      </c>
      <c r="R66" s="17">
        <v>6056</v>
      </c>
      <c r="S66" s="20">
        <v>37880</v>
      </c>
    </row>
    <row r="67" spans="1:19" hidden="1">
      <c r="A67" s="33">
        <v>9307</v>
      </c>
      <c r="B67" s="18" t="e">
        <f>D67+F67+H67+J67+L67+N67+P67+R67+#REF!</f>
        <v>#REF!</v>
      </c>
      <c r="C67" s="17" t="e">
        <f>E67+G67+I67+K67+M67+O67+Q67+S67+#REF!</f>
        <v>#REF!</v>
      </c>
      <c r="D67" s="17">
        <v>94401</v>
      </c>
      <c r="E67" s="17">
        <v>802916</v>
      </c>
      <c r="F67" s="17">
        <v>304351</v>
      </c>
      <c r="G67" s="17">
        <v>2361633</v>
      </c>
      <c r="H67" s="17">
        <v>61722</v>
      </c>
      <c r="I67" s="17">
        <v>252189</v>
      </c>
      <c r="J67" s="17">
        <v>114396</v>
      </c>
      <c r="K67" s="17">
        <v>988356</v>
      </c>
      <c r="L67" s="17">
        <v>234439</v>
      </c>
      <c r="M67" s="17">
        <v>969579</v>
      </c>
      <c r="N67" s="17">
        <v>15184</v>
      </c>
      <c r="O67" s="17">
        <v>52887</v>
      </c>
      <c r="P67" s="17">
        <v>396217</v>
      </c>
      <c r="Q67" s="17">
        <v>932019</v>
      </c>
      <c r="R67" s="17">
        <v>5374</v>
      </c>
      <c r="S67" s="20">
        <v>43254</v>
      </c>
    </row>
    <row r="68" spans="1:19" hidden="1">
      <c r="A68" s="33">
        <v>9308</v>
      </c>
      <c r="B68" s="18" t="e">
        <f>D68+F68+H68+J68+L68+N68+P68+R68+#REF!</f>
        <v>#REF!</v>
      </c>
      <c r="C68" s="17" t="e">
        <f>E68+G68+I68+K68+M68+O68+Q68+S68+#REF!</f>
        <v>#REF!</v>
      </c>
      <c r="D68" s="17">
        <v>100371</v>
      </c>
      <c r="E68" s="17">
        <v>903287</v>
      </c>
      <c r="F68" s="17">
        <v>289592</v>
      </c>
      <c r="G68" s="17">
        <v>2651226</v>
      </c>
      <c r="H68" s="17">
        <v>63837</v>
      </c>
      <c r="I68" s="17">
        <v>316026</v>
      </c>
      <c r="J68" s="17">
        <v>117030</v>
      </c>
      <c r="K68" s="17">
        <v>1105386</v>
      </c>
      <c r="L68" s="17">
        <v>115107</v>
      </c>
      <c r="M68" s="17">
        <v>1084686</v>
      </c>
      <c r="N68" s="17">
        <v>9625</v>
      </c>
      <c r="O68" s="17">
        <v>62512</v>
      </c>
      <c r="P68" s="17">
        <v>69648</v>
      </c>
      <c r="Q68" s="17">
        <v>1001666</v>
      </c>
      <c r="R68" s="17">
        <v>6025</v>
      </c>
      <c r="S68" s="20">
        <v>49279</v>
      </c>
    </row>
    <row r="69" spans="1:19" hidden="1">
      <c r="A69" s="33">
        <v>9309</v>
      </c>
      <c r="B69" s="18" t="e">
        <f>D69+F69+H69+J69+L69+N69+P69+R69+#REF!</f>
        <v>#REF!</v>
      </c>
      <c r="C69" s="17" t="e">
        <f>E69+G69+I69+K69+M69+O69+Q69+S69+#REF!</f>
        <v>#REF!</v>
      </c>
      <c r="D69" s="17">
        <v>104112</v>
      </c>
      <c r="E69" s="17">
        <v>1007400</v>
      </c>
      <c r="F69" s="17">
        <v>418980</v>
      </c>
      <c r="G69" s="17">
        <v>3070205</v>
      </c>
      <c r="H69" s="17">
        <v>88797</v>
      </c>
      <c r="I69" s="17">
        <v>404823</v>
      </c>
      <c r="J69" s="17">
        <v>131149</v>
      </c>
      <c r="K69" s="17">
        <v>1236535</v>
      </c>
      <c r="L69" s="17">
        <v>111531</v>
      </c>
      <c r="M69" s="17">
        <v>1196217</v>
      </c>
      <c r="N69" s="17">
        <v>10170</v>
      </c>
      <c r="O69" s="17">
        <v>72681</v>
      </c>
      <c r="P69" s="17">
        <v>15467</v>
      </c>
      <c r="Q69" s="17">
        <v>1017134</v>
      </c>
      <c r="R69" s="17">
        <v>6264</v>
      </c>
      <c r="S69" s="20">
        <v>55543</v>
      </c>
    </row>
    <row r="70" spans="1:19" hidden="1">
      <c r="A70" s="33">
        <v>9310</v>
      </c>
      <c r="B70" s="18" t="e">
        <f>D70+F70+H70+J70+L70+N70+P70+R70+#REF!</f>
        <v>#REF!</v>
      </c>
      <c r="C70" s="17" t="e">
        <f>E70+G70+I70+K70+M70+O70+Q70+S70+#REF!</f>
        <v>#REF!</v>
      </c>
      <c r="D70" s="17">
        <v>155407</v>
      </c>
      <c r="E70" s="17">
        <v>1162807</v>
      </c>
      <c r="F70" s="17">
        <v>336656</v>
      </c>
      <c r="G70" s="17">
        <v>3406861</v>
      </c>
      <c r="H70" s="17">
        <v>216098</v>
      </c>
      <c r="I70" s="17">
        <v>620920</v>
      </c>
      <c r="J70" s="17">
        <v>113456</v>
      </c>
      <c r="K70" s="17">
        <v>1349991</v>
      </c>
      <c r="L70" s="17">
        <v>136139</v>
      </c>
      <c r="M70" s="17">
        <v>1332356</v>
      </c>
      <c r="N70" s="17">
        <v>9712</v>
      </c>
      <c r="O70" s="17">
        <v>82394</v>
      </c>
      <c r="P70" s="17">
        <v>15116</v>
      </c>
      <c r="Q70" s="17">
        <v>1032250</v>
      </c>
      <c r="R70" s="17">
        <v>7451</v>
      </c>
      <c r="S70" s="20">
        <v>62994</v>
      </c>
    </row>
    <row r="71" spans="1:19" hidden="1">
      <c r="A71" s="33">
        <v>9311</v>
      </c>
      <c r="B71" s="18" t="e">
        <f>D71+F71+H71+J71+L71+N71+P71+R71+#REF!</f>
        <v>#REF!</v>
      </c>
      <c r="C71" s="17" t="e">
        <f>E71+G71+I71+K71+M71+O71+Q71+S71+#REF!</f>
        <v>#REF!</v>
      </c>
      <c r="D71" s="17">
        <v>136048</v>
      </c>
      <c r="E71" s="17">
        <v>1298854</v>
      </c>
      <c r="F71" s="17">
        <v>320413</v>
      </c>
      <c r="G71" s="17">
        <v>3727274</v>
      </c>
      <c r="H71" s="17">
        <v>157665</v>
      </c>
      <c r="I71" s="17">
        <v>778586</v>
      </c>
      <c r="J71" s="17">
        <v>119419</v>
      </c>
      <c r="K71" s="17">
        <v>1469410</v>
      </c>
      <c r="L71" s="17">
        <v>128625</v>
      </c>
      <c r="M71" s="17">
        <v>1460981</v>
      </c>
      <c r="N71" s="17">
        <v>25771</v>
      </c>
      <c r="O71" s="17">
        <v>108165</v>
      </c>
      <c r="P71" s="17">
        <v>525429</v>
      </c>
      <c r="Q71" s="17">
        <v>1557679</v>
      </c>
      <c r="R71" s="17">
        <v>7107</v>
      </c>
      <c r="S71" s="20">
        <v>70101</v>
      </c>
    </row>
    <row r="72" spans="1:19" hidden="1">
      <c r="A72" s="33">
        <v>9312</v>
      </c>
      <c r="B72" s="18" t="e">
        <f>D72+F72+H72+J72+L72+N72+P72+R72+#REF!</f>
        <v>#REF!</v>
      </c>
      <c r="C72" s="17" t="e">
        <f>E72+G72+I72+K72+M72+O72+Q72+S72+#REF!</f>
        <v>#REF!</v>
      </c>
      <c r="D72" s="17">
        <v>193340</v>
      </c>
      <c r="E72" s="17">
        <v>1492194</v>
      </c>
      <c r="F72" s="17">
        <v>419058</v>
      </c>
      <c r="G72" s="17">
        <v>4146332</v>
      </c>
      <c r="H72" s="17">
        <v>771512</v>
      </c>
      <c r="I72" s="17">
        <v>1550098</v>
      </c>
      <c r="J72" s="17">
        <v>221533</v>
      </c>
      <c r="K72" s="17">
        <v>1690944</v>
      </c>
      <c r="L72" s="17">
        <v>188426</v>
      </c>
      <c r="M72" s="17">
        <v>1649407</v>
      </c>
      <c r="N72" s="17">
        <v>54335</v>
      </c>
      <c r="O72" s="17">
        <v>162499</v>
      </c>
      <c r="P72" s="17">
        <v>10519</v>
      </c>
      <c r="Q72" s="17">
        <v>1568198</v>
      </c>
      <c r="R72" s="17">
        <v>8269</v>
      </c>
      <c r="S72" s="20">
        <v>78370</v>
      </c>
    </row>
    <row r="73" spans="1:19" hidden="1">
      <c r="A73" s="33">
        <v>9401</v>
      </c>
      <c r="B73" s="18" t="e">
        <f>D73+F73+H73+J73+L73+N73+P73+R73+#REF!</f>
        <v>#REF!</v>
      </c>
      <c r="C73" s="17" t="e">
        <f>E73+G73+I73+K73+M73+O73+Q73+S73+#REF!</f>
        <v>#REF!</v>
      </c>
      <c r="D73" s="17">
        <v>200674</v>
      </c>
      <c r="E73" s="17">
        <v>200674</v>
      </c>
      <c r="F73" s="17">
        <v>553283</v>
      </c>
      <c r="G73" s="17">
        <v>553283</v>
      </c>
      <c r="H73" s="17">
        <v>14185</v>
      </c>
      <c r="I73" s="17">
        <v>14185</v>
      </c>
      <c r="J73" s="17">
        <v>286448</v>
      </c>
      <c r="K73" s="17">
        <v>286448</v>
      </c>
      <c r="L73" s="17">
        <v>209358</v>
      </c>
      <c r="M73" s="17">
        <v>209358</v>
      </c>
      <c r="N73" s="17">
        <v>8440</v>
      </c>
      <c r="O73" s="17">
        <v>8440</v>
      </c>
      <c r="P73" s="17">
        <v>478592</v>
      </c>
      <c r="Q73" s="17">
        <v>478592</v>
      </c>
      <c r="R73" s="17">
        <v>8436</v>
      </c>
      <c r="S73" s="20">
        <v>8436</v>
      </c>
    </row>
    <row r="74" spans="1:19" hidden="1">
      <c r="A74" s="33">
        <v>9402</v>
      </c>
      <c r="B74" s="18" t="e">
        <f>D74+F74+H74+J74+L74+N74+P74+R74+#REF!</f>
        <v>#REF!</v>
      </c>
      <c r="C74" s="17" t="e">
        <f>E74+G74+I74+K74+M74+O74+Q74+S74+#REF!</f>
        <v>#REF!</v>
      </c>
      <c r="D74" s="17">
        <v>107013</v>
      </c>
      <c r="E74" s="17">
        <v>307686</v>
      </c>
      <c r="F74" s="17">
        <v>258716</v>
      </c>
      <c r="G74" s="17">
        <v>811999</v>
      </c>
      <c r="H74" s="17">
        <v>8981</v>
      </c>
      <c r="I74" s="17">
        <v>23167</v>
      </c>
      <c r="J74" s="17">
        <v>96332</v>
      </c>
      <c r="K74" s="17">
        <v>382780</v>
      </c>
      <c r="L74" s="17">
        <v>99088</v>
      </c>
      <c r="M74" s="17">
        <v>308446</v>
      </c>
      <c r="N74" s="17">
        <v>6272</v>
      </c>
      <c r="O74" s="17">
        <v>14712</v>
      </c>
      <c r="P74" s="17">
        <v>31505</v>
      </c>
      <c r="Q74" s="17">
        <v>510097</v>
      </c>
      <c r="R74" s="17">
        <v>7787</v>
      </c>
      <c r="S74" s="20">
        <v>16223</v>
      </c>
    </row>
    <row r="75" spans="1:19" hidden="1">
      <c r="A75" s="33">
        <v>9403</v>
      </c>
      <c r="B75" s="18" t="e">
        <f>D75+F75+H75+J75+L75+N75+P75+R75+#REF!</f>
        <v>#REF!</v>
      </c>
      <c r="C75" s="17" t="e">
        <f>E75+G75+I75+K75+M75+O75+Q75+S75+#REF!</f>
        <v>#REF!</v>
      </c>
      <c r="D75" s="17">
        <v>112034</v>
      </c>
      <c r="E75" s="17">
        <v>419720</v>
      </c>
      <c r="F75" s="17">
        <v>307375</v>
      </c>
      <c r="G75" s="17">
        <v>1119375</v>
      </c>
      <c r="H75" s="17">
        <v>30389</v>
      </c>
      <c r="I75" s="17">
        <v>53555</v>
      </c>
      <c r="J75" s="17">
        <v>136143</v>
      </c>
      <c r="K75" s="17">
        <v>518923</v>
      </c>
      <c r="L75" s="17">
        <v>112466</v>
      </c>
      <c r="M75" s="17">
        <v>420912</v>
      </c>
      <c r="N75" s="17">
        <v>8477</v>
      </c>
      <c r="O75" s="17">
        <v>23189</v>
      </c>
      <c r="P75" s="17">
        <v>22975</v>
      </c>
      <c r="Q75" s="17">
        <v>533072</v>
      </c>
      <c r="R75" s="17">
        <v>7685</v>
      </c>
      <c r="S75" s="20">
        <v>23908</v>
      </c>
    </row>
    <row r="76" spans="1:19" hidden="1">
      <c r="A76" s="33">
        <v>9404</v>
      </c>
      <c r="B76" s="18" t="e">
        <f>D76+F76+H76+J76+L76+N76+P76+R76+#REF!</f>
        <v>#REF!</v>
      </c>
      <c r="C76" s="17" t="e">
        <f>E76+G76+I76+K76+M76+O76+Q76+S76+#REF!</f>
        <v>#REF!</v>
      </c>
      <c r="D76" s="17">
        <v>112695</v>
      </c>
      <c r="E76" s="17">
        <v>532416</v>
      </c>
      <c r="F76" s="17">
        <v>304199</v>
      </c>
      <c r="G76" s="17">
        <v>1423573</v>
      </c>
      <c r="H76" s="17">
        <v>71161</v>
      </c>
      <c r="I76" s="17">
        <v>124716</v>
      </c>
      <c r="J76" s="17">
        <v>117286</v>
      </c>
      <c r="K76" s="17">
        <v>636209</v>
      </c>
      <c r="L76" s="17">
        <v>122980</v>
      </c>
      <c r="M76" s="17">
        <v>543892</v>
      </c>
      <c r="N76" s="17">
        <v>8114</v>
      </c>
      <c r="O76" s="17">
        <v>31303</v>
      </c>
      <c r="P76" s="17">
        <v>13432</v>
      </c>
      <c r="Q76" s="17">
        <v>546504</v>
      </c>
      <c r="R76" s="17">
        <v>7962</v>
      </c>
      <c r="S76" s="20">
        <v>31870</v>
      </c>
    </row>
    <row r="77" spans="1:19" hidden="1">
      <c r="A77" s="33">
        <v>9405</v>
      </c>
      <c r="B77" s="18" t="e">
        <f>D77+F77+H77+J77+L77+N77+P77+R77+#REF!</f>
        <v>#REF!</v>
      </c>
      <c r="C77" s="17" t="e">
        <f>E77+G77+I77+K77+M77+O77+Q77+S77+#REF!</f>
        <v>#REF!</v>
      </c>
      <c r="D77" s="17">
        <v>117792</v>
      </c>
      <c r="E77" s="17">
        <v>650208</v>
      </c>
      <c r="F77" s="17">
        <v>312924</v>
      </c>
      <c r="G77" s="17">
        <v>1736498</v>
      </c>
      <c r="H77" s="17">
        <v>62398</v>
      </c>
      <c r="I77" s="17">
        <v>187114</v>
      </c>
      <c r="J77" s="17">
        <v>128139</v>
      </c>
      <c r="K77" s="17">
        <v>764347</v>
      </c>
      <c r="L77" s="17">
        <v>134922</v>
      </c>
      <c r="M77" s="17">
        <v>678814</v>
      </c>
      <c r="N77" s="17">
        <v>10448</v>
      </c>
      <c r="O77" s="17">
        <v>41751</v>
      </c>
      <c r="P77" s="17">
        <v>9347</v>
      </c>
      <c r="Q77" s="17">
        <v>555851</v>
      </c>
      <c r="R77" s="17">
        <v>7906</v>
      </c>
      <c r="S77" s="20">
        <v>39776</v>
      </c>
    </row>
    <row r="78" spans="1:19" hidden="1">
      <c r="A78" s="33">
        <v>9406</v>
      </c>
      <c r="B78" s="18" t="e">
        <f>D78+F78+H78+J78+L78+N78+P78+R78+#REF!</f>
        <v>#REF!</v>
      </c>
      <c r="C78" s="17" t="e">
        <f>E78+G78+I78+K78+M78+O78+Q78+S78+#REF!</f>
        <v>#REF!</v>
      </c>
      <c r="D78" s="17">
        <v>122751</v>
      </c>
      <c r="E78" s="17">
        <v>772959</v>
      </c>
      <c r="F78" s="17">
        <v>298755</v>
      </c>
      <c r="G78" s="17">
        <v>2035253</v>
      </c>
      <c r="H78" s="17">
        <v>77034</v>
      </c>
      <c r="I78" s="17">
        <v>264148</v>
      </c>
      <c r="J78" s="17">
        <v>124129</v>
      </c>
      <c r="K78" s="17">
        <v>888477</v>
      </c>
      <c r="L78" s="17">
        <v>142519</v>
      </c>
      <c r="M78" s="17">
        <v>821333</v>
      </c>
      <c r="N78" s="17">
        <v>11478</v>
      </c>
      <c r="O78" s="17">
        <v>53229</v>
      </c>
      <c r="P78" s="17">
        <v>284410</v>
      </c>
      <c r="Q78" s="17">
        <v>840261</v>
      </c>
      <c r="R78" s="17">
        <v>7799</v>
      </c>
      <c r="S78" s="20">
        <v>47574</v>
      </c>
    </row>
    <row r="79" spans="1:19" hidden="1">
      <c r="A79" s="33">
        <v>9407</v>
      </c>
      <c r="B79" s="18" t="e">
        <f>D79+F79+H79+J79+L79+N79+P79+R79+#REF!</f>
        <v>#REF!</v>
      </c>
      <c r="C79" s="17" t="e">
        <f>E79+G79+I79+K79+M79+O79+Q79+S79+#REF!</f>
        <v>#REF!</v>
      </c>
      <c r="D79" s="17">
        <v>105913</v>
      </c>
      <c r="E79" s="17">
        <v>878871</v>
      </c>
      <c r="F79" s="17">
        <v>336014</v>
      </c>
      <c r="G79" s="17">
        <v>2371267</v>
      </c>
      <c r="H79" s="17">
        <v>59610</v>
      </c>
      <c r="I79" s="17">
        <v>323758</v>
      </c>
      <c r="J79" s="17">
        <v>118685</v>
      </c>
      <c r="K79" s="17">
        <v>1007162</v>
      </c>
      <c r="L79" s="17">
        <v>231516</v>
      </c>
      <c r="M79" s="17">
        <v>1052849</v>
      </c>
      <c r="N79" s="17">
        <v>16276</v>
      </c>
      <c r="O79" s="17">
        <v>69505</v>
      </c>
      <c r="P79" s="17">
        <v>442013</v>
      </c>
      <c r="Q79" s="17">
        <v>1282275</v>
      </c>
      <c r="R79" s="17">
        <v>7955</v>
      </c>
      <c r="S79" s="20">
        <v>55529</v>
      </c>
    </row>
    <row r="80" spans="1:19" hidden="1">
      <c r="A80" s="33">
        <v>9408</v>
      </c>
      <c r="B80" s="18" t="e">
        <f>D80+F80+H80+J80+L80+N80+P80+R80+#REF!</f>
        <v>#REF!</v>
      </c>
      <c r="C80" s="17" t="e">
        <f>E80+G80+I80+K80+M80+O80+Q80+S80+#REF!</f>
        <v>#REF!</v>
      </c>
      <c r="D80" s="17">
        <v>119717</v>
      </c>
      <c r="E80" s="17">
        <v>998588</v>
      </c>
      <c r="F80" s="17">
        <v>349968</v>
      </c>
      <c r="G80" s="17">
        <v>2721235</v>
      </c>
      <c r="H80" s="17">
        <v>100489</v>
      </c>
      <c r="I80" s="17">
        <v>424247</v>
      </c>
      <c r="J80" s="17">
        <v>124514</v>
      </c>
      <c r="K80" s="17">
        <v>1131676</v>
      </c>
      <c r="L80" s="17">
        <v>139614</v>
      </c>
      <c r="M80" s="17">
        <v>1192463</v>
      </c>
      <c r="N80" s="17">
        <v>8858</v>
      </c>
      <c r="O80" s="17">
        <v>78364</v>
      </c>
      <c r="P80" s="17">
        <v>65360</v>
      </c>
      <c r="Q80" s="17">
        <v>1347635</v>
      </c>
      <c r="R80" s="17">
        <v>8747</v>
      </c>
      <c r="S80" s="20">
        <v>64275</v>
      </c>
    </row>
    <row r="81" spans="1:24" hidden="1">
      <c r="A81" s="33">
        <v>9409</v>
      </c>
      <c r="B81" s="18" t="e">
        <f>D81+F81+H81+J81+L81+N81+P81+R81+#REF!</f>
        <v>#REF!</v>
      </c>
      <c r="C81" s="17" t="e">
        <f>E81+G81+I81+K81+M81+O81+Q81+S81+#REF!</f>
        <v>#REF!</v>
      </c>
      <c r="D81" s="17">
        <v>128539</v>
      </c>
      <c r="E81" s="17">
        <v>1127128</v>
      </c>
      <c r="F81" s="17">
        <v>427804</v>
      </c>
      <c r="G81" s="17">
        <v>3149038</v>
      </c>
      <c r="H81" s="17">
        <v>188156</v>
      </c>
      <c r="I81" s="17">
        <v>612403</v>
      </c>
      <c r="J81" s="17">
        <v>129456</v>
      </c>
      <c r="K81" s="17">
        <v>1261132</v>
      </c>
      <c r="L81" s="17">
        <v>117744</v>
      </c>
      <c r="M81" s="17">
        <v>1310207</v>
      </c>
      <c r="N81" s="17">
        <v>27695</v>
      </c>
      <c r="O81" s="17">
        <v>106059</v>
      </c>
      <c r="P81" s="17">
        <v>19620</v>
      </c>
      <c r="Q81" s="17">
        <v>1367255</v>
      </c>
      <c r="R81" s="17">
        <v>8524</v>
      </c>
      <c r="S81" s="20">
        <v>72799</v>
      </c>
    </row>
    <row r="82" spans="1:24" hidden="1">
      <c r="A82" s="33">
        <v>9410</v>
      </c>
      <c r="B82" s="18" t="e">
        <f>D82+F82+H82+J82+L82+N82+P82+R82+#REF!</f>
        <v>#REF!</v>
      </c>
      <c r="C82" s="17" t="e">
        <f>E82+G82+I82+K82+M82+O82+Q82+S82+#REF!</f>
        <v>#REF!</v>
      </c>
      <c r="D82" s="17">
        <v>123365</v>
      </c>
      <c r="E82" s="17">
        <v>1250493</v>
      </c>
      <c r="F82" s="17">
        <v>372292</v>
      </c>
      <c r="G82" s="17">
        <v>3521330</v>
      </c>
      <c r="H82" s="17">
        <v>168136</v>
      </c>
      <c r="I82" s="17">
        <v>780539</v>
      </c>
      <c r="J82" s="17">
        <v>131884</v>
      </c>
      <c r="K82" s="17">
        <v>1393016</v>
      </c>
      <c r="L82" s="17">
        <v>133816</v>
      </c>
      <c r="M82" s="17">
        <v>1444022</v>
      </c>
      <c r="N82" s="17">
        <v>27567</v>
      </c>
      <c r="O82" s="17">
        <v>133627</v>
      </c>
      <c r="P82" s="17">
        <v>25209</v>
      </c>
      <c r="Q82" s="17">
        <v>1392465</v>
      </c>
      <c r="R82" s="17">
        <v>8841</v>
      </c>
      <c r="S82" s="20">
        <v>81640</v>
      </c>
    </row>
    <row r="83" spans="1:24" hidden="1">
      <c r="A83" s="33">
        <v>9411</v>
      </c>
      <c r="B83" s="18" t="e">
        <f>D83+F83+H83+J83+L83+N83+P83+R83+#REF!</f>
        <v>#REF!</v>
      </c>
      <c r="C83" s="17" t="e">
        <f>E83+G83+I83+K83+M83+O83+Q83+S83+#REF!</f>
        <v>#REF!</v>
      </c>
      <c r="D83" s="17">
        <v>166284</v>
      </c>
      <c r="E83" s="17">
        <v>1416778</v>
      </c>
      <c r="F83" s="17">
        <v>344461</v>
      </c>
      <c r="G83" s="17">
        <v>3865791</v>
      </c>
      <c r="H83" s="17">
        <v>156445</v>
      </c>
      <c r="I83" s="17">
        <v>936984</v>
      </c>
      <c r="J83" s="17">
        <v>139431</v>
      </c>
      <c r="K83" s="17">
        <v>1532447</v>
      </c>
      <c r="L83" s="17">
        <v>137641</v>
      </c>
      <c r="M83" s="17">
        <v>1581663</v>
      </c>
      <c r="N83" s="17">
        <v>11777</v>
      </c>
      <c r="O83" s="17">
        <v>145404</v>
      </c>
      <c r="P83" s="17">
        <v>284246</v>
      </c>
      <c r="Q83" s="17">
        <v>1676710</v>
      </c>
      <c r="R83" s="17">
        <v>8875</v>
      </c>
      <c r="S83" s="20">
        <v>90514</v>
      </c>
    </row>
    <row r="84" spans="1:24" hidden="1">
      <c r="A84" s="33">
        <v>9412</v>
      </c>
      <c r="B84" s="18" t="e">
        <f>D84+F84+H84+J84+L84+N84+P84+R84+#REF!</f>
        <v>#REF!</v>
      </c>
      <c r="C84" s="17" t="e">
        <f>E84+G84+I84+K84+M84+O84+Q84+S84+#REF!</f>
        <v>#REF!</v>
      </c>
      <c r="D84" s="17">
        <v>217047</v>
      </c>
      <c r="E84" s="17">
        <v>1633824</v>
      </c>
      <c r="F84" s="17">
        <v>467241</v>
      </c>
      <c r="G84" s="17">
        <v>4333032</v>
      </c>
      <c r="H84" s="17">
        <v>599461</v>
      </c>
      <c r="I84" s="17">
        <v>1536445</v>
      </c>
      <c r="J84" s="17">
        <v>225710</v>
      </c>
      <c r="K84" s="17">
        <v>1758157</v>
      </c>
      <c r="L84" s="17">
        <v>230197</v>
      </c>
      <c r="M84" s="17">
        <v>1811860</v>
      </c>
      <c r="N84" s="17">
        <v>112580</v>
      </c>
      <c r="O84" s="17">
        <v>257984</v>
      </c>
      <c r="P84" s="17">
        <v>6377</v>
      </c>
      <c r="Q84" s="17">
        <v>1683088</v>
      </c>
      <c r="R84" s="17">
        <v>11084</v>
      </c>
      <c r="S84" s="20">
        <v>101598</v>
      </c>
    </row>
    <row r="85" spans="1:24">
      <c r="A85" s="34">
        <v>9501</v>
      </c>
      <c r="B85" s="35">
        <f t="shared" ref="B85:B123" si="0">D85+F85+H85+J85+L85+N85+P85+R85+T85</f>
        <v>2299691</v>
      </c>
      <c r="C85" s="48">
        <f t="shared" ref="C85:C123" si="1">E85+G85+I85+K85+M85+O85+Q85+S85+U85</f>
        <v>2299691</v>
      </c>
      <c r="D85" s="36">
        <v>292234</v>
      </c>
      <c r="E85" s="48">
        <v>292234</v>
      </c>
      <c r="F85" s="36">
        <v>809045</v>
      </c>
      <c r="G85" s="48">
        <v>809045</v>
      </c>
      <c r="H85" s="36">
        <v>15556</v>
      </c>
      <c r="I85" s="48">
        <v>15556</v>
      </c>
      <c r="J85" s="36">
        <v>376769</v>
      </c>
      <c r="K85" s="48">
        <v>376769</v>
      </c>
      <c r="L85" s="36">
        <v>251159</v>
      </c>
      <c r="M85" s="48">
        <v>251159</v>
      </c>
      <c r="N85" s="36">
        <v>11665</v>
      </c>
      <c r="O85" s="48">
        <v>11665</v>
      </c>
      <c r="P85" s="36">
        <v>534081</v>
      </c>
      <c r="Q85" s="48">
        <v>534081</v>
      </c>
      <c r="R85" s="36">
        <v>9182</v>
      </c>
      <c r="S85" s="54">
        <v>9182</v>
      </c>
      <c r="W85" s="37"/>
      <c r="X85" s="37"/>
    </row>
    <row r="86" spans="1:24">
      <c r="A86" s="34">
        <v>9502</v>
      </c>
      <c r="B86" s="35">
        <f t="shared" si="0"/>
        <v>166787</v>
      </c>
      <c r="C86" s="48">
        <f t="shared" si="1"/>
        <v>2466478</v>
      </c>
      <c r="D86" s="36">
        <v>33385</v>
      </c>
      <c r="E86" s="48">
        <v>325619</v>
      </c>
      <c r="F86" s="36">
        <v>53290</v>
      </c>
      <c r="G86" s="48">
        <v>862334</v>
      </c>
      <c r="H86" s="36">
        <v>4769</v>
      </c>
      <c r="I86" s="48">
        <v>20326</v>
      </c>
      <c r="J86" s="36">
        <v>15755</v>
      </c>
      <c r="K86" s="48">
        <v>392524</v>
      </c>
      <c r="L86" s="36">
        <v>16878</v>
      </c>
      <c r="M86" s="48">
        <v>268037</v>
      </c>
      <c r="N86" s="36">
        <v>2724</v>
      </c>
      <c r="O86" s="48">
        <v>14389</v>
      </c>
      <c r="P86" s="36">
        <v>29654</v>
      </c>
      <c r="Q86" s="48">
        <v>563735</v>
      </c>
      <c r="R86" s="36">
        <v>10332</v>
      </c>
      <c r="S86" s="54">
        <v>19514</v>
      </c>
      <c r="W86" s="37"/>
      <c r="X86" s="37"/>
    </row>
    <row r="87" spans="1:24">
      <c r="A87" s="34">
        <v>9503</v>
      </c>
      <c r="B87" s="35">
        <f t="shared" si="0"/>
        <v>736622</v>
      </c>
      <c r="C87" s="48">
        <f t="shared" si="1"/>
        <v>3203100</v>
      </c>
      <c r="D87" s="36">
        <v>117745</v>
      </c>
      <c r="E87" s="48">
        <v>443364</v>
      </c>
      <c r="F87" s="36">
        <v>292615</v>
      </c>
      <c r="G87" s="48">
        <v>1154949</v>
      </c>
      <c r="H87" s="36">
        <v>29423</v>
      </c>
      <c r="I87" s="48">
        <v>49749</v>
      </c>
      <c r="J87" s="36">
        <v>140086</v>
      </c>
      <c r="K87" s="48">
        <v>532610</v>
      </c>
      <c r="L87" s="36">
        <v>116984</v>
      </c>
      <c r="M87" s="48">
        <v>385021</v>
      </c>
      <c r="N87" s="36">
        <v>9859</v>
      </c>
      <c r="O87" s="48">
        <v>24248</v>
      </c>
      <c r="P87" s="36">
        <v>19534</v>
      </c>
      <c r="Q87" s="48">
        <v>583269</v>
      </c>
      <c r="R87" s="36">
        <v>10376</v>
      </c>
      <c r="S87" s="54">
        <v>29890</v>
      </c>
      <c r="W87" s="37"/>
      <c r="X87" s="37"/>
    </row>
    <row r="88" spans="1:24">
      <c r="A88" s="34">
        <v>9504</v>
      </c>
      <c r="B88" s="35">
        <f t="shared" si="0"/>
        <v>760295</v>
      </c>
      <c r="C88" s="48">
        <f t="shared" si="1"/>
        <v>3963395</v>
      </c>
      <c r="D88" s="36">
        <v>109316</v>
      </c>
      <c r="E88" s="48">
        <v>552680</v>
      </c>
      <c r="F88" s="36">
        <v>338031</v>
      </c>
      <c r="G88" s="48">
        <v>1492980</v>
      </c>
      <c r="H88" s="36">
        <v>18641</v>
      </c>
      <c r="I88" s="48">
        <v>68390</v>
      </c>
      <c r="J88" s="36">
        <v>114478</v>
      </c>
      <c r="K88" s="48">
        <v>647088</v>
      </c>
      <c r="L88" s="36">
        <v>133957</v>
      </c>
      <c r="M88" s="48">
        <v>518978</v>
      </c>
      <c r="N88" s="36">
        <v>13617</v>
      </c>
      <c r="O88" s="48">
        <v>37865</v>
      </c>
      <c r="P88" s="36">
        <v>22466</v>
      </c>
      <c r="Q88" s="48">
        <v>605735</v>
      </c>
      <c r="R88" s="36">
        <v>9789</v>
      </c>
      <c r="S88" s="54">
        <v>39679</v>
      </c>
      <c r="W88" s="37"/>
      <c r="X88" s="37"/>
    </row>
    <row r="89" spans="1:24">
      <c r="A89" s="34">
        <v>9505</v>
      </c>
      <c r="B89" s="35">
        <f t="shared" si="0"/>
        <v>808554</v>
      </c>
      <c r="C89" s="48">
        <f t="shared" si="1"/>
        <v>4771949</v>
      </c>
      <c r="D89" s="36">
        <v>119973</v>
      </c>
      <c r="E89" s="48">
        <v>672654</v>
      </c>
      <c r="F89" s="36">
        <v>331622</v>
      </c>
      <c r="G89" s="48">
        <v>1824601</v>
      </c>
      <c r="H89" s="36">
        <v>45376</v>
      </c>
      <c r="I89" s="48">
        <v>113766</v>
      </c>
      <c r="J89" s="36">
        <v>133118</v>
      </c>
      <c r="K89" s="48">
        <v>780206</v>
      </c>
      <c r="L89" s="36">
        <v>147461</v>
      </c>
      <c r="M89" s="48">
        <v>666439</v>
      </c>
      <c r="N89" s="36">
        <v>16590</v>
      </c>
      <c r="O89" s="48">
        <v>54455</v>
      </c>
      <c r="P89" s="36">
        <v>2348</v>
      </c>
      <c r="Q89" s="48">
        <v>608083</v>
      </c>
      <c r="R89" s="36">
        <v>12066</v>
      </c>
      <c r="S89" s="54">
        <v>51745</v>
      </c>
      <c r="W89" s="37"/>
      <c r="X89" s="37"/>
    </row>
    <row r="90" spans="1:24">
      <c r="A90" s="34">
        <v>9506</v>
      </c>
      <c r="B90" s="35">
        <f t="shared" si="0"/>
        <v>1107044</v>
      </c>
      <c r="C90" s="48">
        <f t="shared" si="1"/>
        <v>5878993</v>
      </c>
      <c r="D90" s="36">
        <v>115147</v>
      </c>
      <c r="E90" s="48">
        <v>787801</v>
      </c>
      <c r="F90" s="36">
        <v>348878</v>
      </c>
      <c r="G90" s="48">
        <v>2173479</v>
      </c>
      <c r="H90" s="36">
        <v>70535</v>
      </c>
      <c r="I90" s="48">
        <v>184301</v>
      </c>
      <c r="J90" s="36">
        <v>136509</v>
      </c>
      <c r="K90" s="48">
        <v>916715</v>
      </c>
      <c r="L90" s="36">
        <v>112461</v>
      </c>
      <c r="M90" s="48">
        <v>778900</v>
      </c>
      <c r="N90" s="36">
        <v>8876</v>
      </c>
      <c r="O90" s="48">
        <v>63330</v>
      </c>
      <c r="P90" s="36">
        <v>303634</v>
      </c>
      <c r="Q90" s="48">
        <v>911717</v>
      </c>
      <c r="R90" s="36">
        <v>11004</v>
      </c>
      <c r="S90" s="54">
        <v>62750</v>
      </c>
      <c r="W90" s="37"/>
      <c r="X90" s="37"/>
    </row>
    <row r="91" spans="1:24">
      <c r="A91" s="34">
        <v>9507</v>
      </c>
      <c r="B91" s="35">
        <f t="shared" si="0"/>
        <v>1273295</v>
      </c>
      <c r="C91" s="48">
        <f t="shared" si="1"/>
        <v>7152588</v>
      </c>
      <c r="D91" s="36">
        <v>109087</v>
      </c>
      <c r="E91" s="48">
        <v>896888</v>
      </c>
      <c r="F91" s="36">
        <v>284556</v>
      </c>
      <c r="G91" s="48">
        <v>2458334</v>
      </c>
      <c r="H91" s="36">
        <v>143097</v>
      </c>
      <c r="I91" s="48">
        <v>327398</v>
      </c>
      <c r="J91" s="36">
        <v>122547</v>
      </c>
      <c r="K91" s="48">
        <v>1039262</v>
      </c>
      <c r="L91" s="36">
        <v>148240</v>
      </c>
      <c r="M91" s="48">
        <v>927140</v>
      </c>
      <c r="N91" s="36">
        <v>9954</v>
      </c>
      <c r="O91" s="48">
        <v>73285</v>
      </c>
      <c r="P91" s="36">
        <v>444648</v>
      </c>
      <c r="Q91" s="48">
        <v>1356365</v>
      </c>
      <c r="R91" s="36">
        <v>11166</v>
      </c>
      <c r="S91" s="54">
        <v>73916</v>
      </c>
      <c r="W91" s="37"/>
      <c r="X91" s="37"/>
    </row>
    <row r="92" spans="1:24">
      <c r="A92" s="34">
        <v>9508</v>
      </c>
      <c r="B92" s="35">
        <f t="shared" si="0"/>
        <v>915185</v>
      </c>
      <c r="C92" s="48">
        <f t="shared" si="1"/>
        <v>8067773</v>
      </c>
      <c r="D92" s="36">
        <v>112853</v>
      </c>
      <c r="E92" s="48">
        <v>1009741</v>
      </c>
      <c r="F92" s="36">
        <v>336181</v>
      </c>
      <c r="G92" s="48">
        <v>2794516</v>
      </c>
      <c r="H92" s="36">
        <v>114191</v>
      </c>
      <c r="I92" s="48">
        <v>441590</v>
      </c>
      <c r="J92" s="36">
        <v>130463</v>
      </c>
      <c r="K92" s="48">
        <v>1169724</v>
      </c>
      <c r="L92" s="36">
        <v>155358</v>
      </c>
      <c r="M92" s="48">
        <v>1082498</v>
      </c>
      <c r="N92" s="36">
        <v>7236</v>
      </c>
      <c r="O92" s="48">
        <v>80520</v>
      </c>
      <c r="P92" s="36">
        <v>46157</v>
      </c>
      <c r="Q92" s="48">
        <v>1402522</v>
      </c>
      <c r="R92" s="36">
        <v>12746</v>
      </c>
      <c r="S92" s="54">
        <v>86662</v>
      </c>
      <c r="W92" s="37"/>
      <c r="X92" s="37"/>
    </row>
    <row r="93" spans="1:24">
      <c r="A93" s="34">
        <v>9509</v>
      </c>
      <c r="B93" s="35">
        <f t="shared" si="0"/>
        <v>1022249</v>
      </c>
      <c r="C93" s="48">
        <f t="shared" si="1"/>
        <v>9090022</v>
      </c>
      <c r="D93" s="36">
        <v>117177</v>
      </c>
      <c r="E93" s="48">
        <v>1126918</v>
      </c>
      <c r="F93" s="36">
        <v>453148</v>
      </c>
      <c r="G93" s="48">
        <v>3247664</v>
      </c>
      <c r="H93" s="36">
        <v>133651</v>
      </c>
      <c r="I93" s="48">
        <v>575240</v>
      </c>
      <c r="J93" s="36">
        <v>123514</v>
      </c>
      <c r="K93" s="48">
        <v>1293238</v>
      </c>
      <c r="L93" s="36">
        <v>140624</v>
      </c>
      <c r="M93" s="48">
        <v>1223122</v>
      </c>
      <c r="N93" s="36">
        <v>29850</v>
      </c>
      <c r="O93" s="48">
        <v>110371</v>
      </c>
      <c r="P93" s="36">
        <v>12138</v>
      </c>
      <c r="Q93" s="48">
        <v>1414660</v>
      </c>
      <c r="R93" s="36">
        <v>12147</v>
      </c>
      <c r="S93" s="54">
        <v>98809</v>
      </c>
      <c r="W93" s="37"/>
      <c r="X93" s="37"/>
    </row>
    <row r="94" spans="1:24">
      <c r="A94" s="34">
        <v>9510</v>
      </c>
      <c r="B94" s="35">
        <f t="shared" si="0"/>
        <v>970533</v>
      </c>
      <c r="C94" s="48">
        <f t="shared" si="1"/>
        <v>10060554</v>
      </c>
      <c r="D94" s="38">
        <v>135004</v>
      </c>
      <c r="E94" s="48">
        <v>1261922</v>
      </c>
      <c r="F94" s="38">
        <v>339906</v>
      </c>
      <c r="G94" s="48">
        <v>3587570</v>
      </c>
      <c r="H94" s="38">
        <v>162451</v>
      </c>
      <c r="I94" s="48">
        <v>737691</v>
      </c>
      <c r="J94" s="38">
        <v>126430</v>
      </c>
      <c r="K94" s="48">
        <v>1419668</v>
      </c>
      <c r="L94" s="38">
        <v>151450</v>
      </c>
      <c r="M94" s="48">
        <v>1374572</v>
      </c>
      <c r="N94" s="36">
        <v>23435</v>
      </c>
      <c r="O94" s="48">
        <v>133806</v>
      </c>
      <c r="P94" s="36">
        <v>20107</v>
      </c>
      <c r="Q94" s="48">
        <v>1434767</v>
      </c>
      <c r="R94" s="36">
        <v>11750</v>
      </c>
      <c r="S94" s="54">
        <v>110558</v>
      </c>
      <c r="W94" s="37"/>
      <c r="X94" s="37"/>
    </row>
    <row r="95" spans="1:24">
      <c r="A95" s="34">
        <v>9511</v>
      </c>
      <c r="B95" s="35">
        <f t="shared" si="0"/>
        <v>1386001</v>
      </c>
      <c r="C95" s="48">
        <f t="shared" si="1"/>
        <v>11446555</v>
      </c>
      <c r="D95" s="38">
        <v>152979</v>
      </c>
      <c r="E95" s="48">
        <v>1414901</v>
      </c>
      <c r="F95" s="38">
        <v>334722</v>
      </c>
      <c r="G95" s="48">
        <v>3922291</v>
      </c>
      <c r="H95" s="38">
        <v>308523</v>
      </c>
      <c r="I95" s="48">
        <v>1046214</v>
      </c>
      <c r="J95" s="38">
        <v>124984</v>
      </c>
      <c r="K95" s="48">
        <v>1544652</v>
      </c>
      <c r="L95" s="38">
        <v>147243</v>
      </c>
      <c r="M95" s="48">
        <v>1521815</v>
      </c>
      <c r="N95" s="38">
        <v>23544</v>
      </c>
      <c r="O95" s="48">
        <v>157350</v>
      </c>
      <c r="P95" s="38">
        <v>280749</v>
      </c>
      <c r="Q95" s="48">
        <v>1715516</v>
      </c>
      <c r="R95" s="36">
        <v>13257</v>
      </c>
      <c r="S95" s="54">
        <v>123816</v>
      </c>
      <c r="W95" s="37"/>
      <c r="X95" s="37"/>
    </row>
    <row r="96" spans="1:24">
      <c r="A96" s="34">
        <v>9512</v>
      </c>
      <c r="B96" s="35">
        <f t="shared" si="0"/>
        <v>1727033</v>
      </c>
      <c r="C96" s="48">
        <f t="shared" si="1"/>
        <v>13173588</v>
      </c>
      <c r="D96" s="38">
        <v>211699</v>
      </c>
      <c r="E96" s="48">
        <v>1626599</v>
      </c>
      <c r="F96" s="38">
        <v>403977</v>
      </c>
      <c r="G96" s="48">
        <v>4326269</v>
      </c>
      <c r="H96" s="38">
        <v>532018</v>
      </c>
      <c r="I96" s="48">
        <v>1578232</v>
      </c>
      <c r="J96" s="38">
        <v>224612</v>
      </c>
      <c r="K96" s="48">
        <v>1769264</v>
      </c>
      <c r="L96" s="38">
        <v>205319</v>
      </c>
      <c r="M96" s="48">
        <v>1727134</v>
      </c>
      <c r="N96" s="38">
        <v>121673</v>
      </c>
      <c r="O96" s="48">
        <v>279022</v>
      </c>
      <c r="P96" s="38">
        <v>14802</v>
      </c>
      <c r="Q96" s="48">
        <v>1730319</v>
      </c>
      <c r="R96" s="36">
        <v>12933</v>
      </c>
      <c r="S96" s="54">
        <v>136749</v>
      </c>
      <c r="W96" s="37"/>
      <c r="X96" s="37"/>
    </row>
    <row r="97" spans="1:24">
      <c r="A97" s="34">
        <v>9601</v>
      </c>
      <c r="B97" s="35">
        <f t="shared" si="0"/>
        <v>1032166</v>
      </c>
      <c r="C97" s="48">
        <f t="shared" si="1"/>
        <v>1032166</v>
      </c>
      <c r="D97" s="36">
        <v>74178</v>
      </c>
      <c r="E97" s="48">
        <v>74178</v>
      </c>
      <c r="F97" s="36">
        <v>266024</v>
      </c>
      <c r="G97" s="48">
        <v>266024</v>
      </c>
      <c r="H97" s="36">
        <v>12555</v>
      </c>
      <c r="I97" s="48">
        <v>12555</v>
      </c>
      <c r="J97" s="36">
        <v>94832</v>
      </c>
      <c r="K97" s="48">
        <v>94832</v>
      </c>
      <c r="L97" s="36">
        <v>132132</v>
      </c>
      <c r="M97" s="48">
        <v>132132</v>
      </c>
      <c r="N97" s="36">
        <v>3601</v>
      </c>
      <c r="O97" s="48">
        <v>3601</v>
      </c>
      <c r="P97" s="36">
        <v>438761</v>
      </c>
      <c r="Q97" s="48">
        <v>438761</v>
      </c>
      <c r="R97" s="36">
        <v>10083</v>
      </c>
      <c r="S97" s="54">
        <v>10083</v>
      </c>
      <c r="W97" s="37"/>
      <c r="X97" s="37"/>
    </row>
    <row r="98" spans="1:24">
      <c r="A98" s="34">
        <v>9602</v>
      </c>
      <c r="B98" s="35">
        <f t="shared" si="0"/>
        <v>1478412</v>
      </c>
      <c r="C98" s="48">
        <f t="shared" si="1"/>
        <v>2510578</v>
      </c>
      <c r="D98" s="36">
        <v>213071</v>
      </c>
      <c r="E98" s="48">
        <v>287249</v>
      </c>
      <c r="F98" s="36">
        <v>611139</v>
      </c>
      <c r="G98" s="48">
        <v>877163</v>
      </c>
      <c r="H98" s="36">
        <v>59400</v>
      </c>
      <c r="I98" s="48">
        <v>71955</v>
      </c>
      <c r="J98" s="36">
        <v>296499</v>
      </c>
      <c r="K98" s="48">
        <v>391330</v>
      </c>
      <c r="L98" s="36">
        <v>139194</v>
      </c>
      <c r="M98" s="48">
        <v>271326</v>
      </c>
      <c r="N98" s="36">
        <v>10172</v>
      </c>
      <c r="O98" s="48">
        <v>13772</v>
      </c>
      <c r="P98" s="36">
        <v>135110</v>
      </c>
      <c r="Q98" s="48">
        <v>573872</v>
      </c>
      <c r="R98" s="36">
        <v>13827</v>
      </c>
      <c r="S98" s="54">
        <v>23911</v>
      </c>
      <c r="W98" s="37"/>
      <c r="X98" s="37"/>
    </row>
    <row r="99" spans="1:24">
      <c r="A99" s="34">
        <v>9603</v>
      </c>
      <c r="B99" s="35">
        <f t="shared" si="0"/>
        <v>770744</v>
      </c>
      <c r="C99" s="48">
        <f t="shared" si="1"/>
        <v>3281322</v>
      </c>
      <c r="D99" s="36">
        <v>104888</v>
      </c>
      <c r="E99" s="48">
        <v>392137</v>
      </c>
      <c r="F99" s="36">
        <v>316233</v>
      </c>
      <c r="G99" s="48">
        <v>1193396</v>
      </c>
      <c r="H99" s="36">
        <v>31914</v>
      </c>
      <c r="I99" s="48">
        <v>103870</v>
      </c>
      <c r="J99" s="36">
        <v>135221</v>
      </c>
      <c r="K99" s="48">
        <v>526550</v>
      </c>
      <c r="L99" s="36">
        <v>121563</v>
      </c>
      <c r="M99" s="48">
        <v>392889</v>
      </c>
      <c r="N99" s="36">
        <v>15760</v>
      </c>
      <c r="O99" s="48">
        <v>29532</v>
      </c>
      <c r="P99" s="36">
        <v>21998</v>
      </c>
      <c r="Q99" s="48">
        <v>595870</v>
      </c>
      <c r="R99" s="36">
        <v>23167</v>
      </c>
      <c r="S99" s="54">
        <v>47078</v>
      </c>
      <c r="W99" s="37"/>
      <c r="X99" s="37"/>
    </row>
    <row r="100" spans="1:24">
      <c r="A100" s="34">
        <v>9604</v>
      </c>
      <c r="B100" s="35">
        <f t="shared" si="0"/>
        <v>831951</v>
      </c>
      <c r="C100" s="48">
        <f t="shared" si="1"/>
        <v>4113273</v>
      </c>
      <c r="D100" s="36">
        <v>109572</v>
      </c>
      <c r="E100" s="48">
        <v>501710</v>
      </c>
      <c r="F100" s="36">
        <v>393631</v>
      </c>
      <c r="G100" s="48">
        <v>1587026</v>
      </c>
      <c r="H100" s="36">
        <v>39233</v>
      </c>
      <c r="I100" s="48">
        <v>143102</v>
      </c>
      <c r="J100" s="36">
        <v>113301</v>
      </c>
      <c r="K100" s="48">
        <v>639852</v>
      </c>
      <c r="L100" s="36">
        <v>137212</v>
      </c>
      <c r="M100" s="48">
        <v>530101</v>
      </c>
      <c r="N100" s="36">
        <v>11247</v>
      </c>
      <c r="O100" s="48">
        <v>40779</v>
      </c>
      <c r="P100" s="36">
        <v>13618</v>
      </c>
      <c r="Q100" s="48">
        <v>609488</v>
      </c>
      <c r="R100" s="36">
        <v>14137</v>
      </c>
      <c r="S100" s="54">
        <v>61215</v>
      </c>
      <c r="W100" s="37"/>
      <c r="X100" s="37"/>
    </row>
    <row r="101" spans="1:24">
      <c r="A101" s="34">
        <v>9605</v>
      </c>
      <c r="B101" s="35">
        <f t="shared" si="0"/>
        <v>868668</v>
      </c>
      <c r="C101" s="48">
        <f t="shared" si="1"/>
        <v>4921941.2</v>
      </c>
      <c r="D101" s="36">
        <v>105177.60000000001</v>
      </c>
      <c r="E101" s="48">
        <v>606887.5</v>
      </c>
      <c r="F101" s="36">
        <v>343539.7</v>
      </c>
      <c r="G101" s="48">
        <v>1930566</v>
      </c>
      <c r="H101" s="36">
        <v>107200.7</v>
      </c>
      <c r="I101" s="48">
        <v>250302.9</v>
      </c>
      <c r="J101" s="36">
        <v>129783.6</v>
      </c>
      <c r="K101" s="48">
        <v>769635.6</v>
      </c>
      <c r="L101" s="36">
        <v>145815.9</v>
      </c>
      <c r="M101" s="48">
        <v>615917.1</v>
      </c>
      <c r="N101" s="36">
        <v>18799.900000000001</v>
      </c>
      <c r="O101" s="48">
        <v>59579.3</v>
      </c>
      <c r="P101" s="36">
        <v>4939.3999999999996</v>
      </c>
      <c r="Q101" s="48">
        <v>614427.1</v>
      </c>
      <c r="R101" s="36">
        <v>13411.2</v>
      </c>
      <c r="S101" s="54">
        <v>74625.7</v>
      </c>
      <c r="W101" s="37"/>
      <c r="X101" s="37"/>
    </row>
    <row r="102" spans="1:24">
      <c r="A102" s="34">
        <v>9606</v>
      </c>
      <c r="B102" s="35">
        <f t="shared" si="0"/>
        <v>1349741.4</v>
      </c>
      <c r="C102" s="48">
        <f t="shared" si="1"/>
        <v>6331682.5</v>
      </c>
      <c r="D102" s="36">
        <v>91522.5</v>
      </c>
      <c r="E102" s="48">
        <v>698410</v>
      </c>
      <c r="F102" s="36">
        <v>308564.5</v>
      </c>
      <c r="G102" s="48">
        <v>2239130.5</v>
      </c>
      <c r="H102" s="36">
        <v>110188.9</v>
      </c>
      <c r="I102" s="48">
        <v>360491.7</v>
      </c>
      <c r="J102" s="36">
        <v>125183.4</v>
      </c>
      <c r="K102" s="48">
        <v>894819</v>
      </c>
      <c r="L102" s="36">
        <v>124495.6</v>
      </c>
      <c r="M102" s="48">
        <v>800412.7</v>
      </c>
      <c r="N102" s="36">
        <v>8422.2999999999993</v>
      </c>
      <c r="O102" s="48">
        <v>68001.7</v>
      </c>
      <c r="P102" s="36">
        <v>566896.30000000005</v>
      </c>
      <c r="Q102" s="48">
        <v>1181323.3</v>
      </c>
      <c r="R102" s="36">
        <v>14467.9</v>
      </c>
      <c r="S102" s="54">
        <v>89093.6</v>
      </c>
      <c r="W102" s="37"/>
      <c r="X102" s="37"/>
    </row>
    <row r="103" spans="1:24">
      <c r="A103" s="34">
        <v>9607</v>
      </c>
      <c r="B103" s="35">
        <f t="shared" si="0"/>
        <v>1368479.7</v>
      </c>
      <c r="C103" s="48">
        <f t="shared" si="1"/>
        <v>7700162.0000000009</v>
      </c>
      <c r="D103" s="36">
        <v>106508.9</v>
      </c>
      <c r="E103" s="48">
        <v>804918.9</v>
      </c>
      <c r="F103" s="36">
        <v>290408.2</v>
      </c>
      <c r="G103" s="48">
        <v>2529538.7000000002</v>
      </c>
      <c r="H103" s="36">
        <v>177237.9</v>
      </c>
      <c r="I103" s="48">
        <v>537729.6</v>
      </c>
      <c r="J103" s="36">
        <v>126988.2</v>
      </c>
      <c r="K103" s="48">
        <v>1021807.2</v>
      </c>
      <c r="L103" s="36">
        <v>164132</v>
      </c>
      <c r="M103" s="48">
        <v>964544.7</v>
      </c>
      <c r="N103" s="36">
        <v>23740</v>
      </c>
      <c r="O103" s="48">
        <v>91741.7</v>
      </c>
      <c r="P103" s="36">
        <v>464248</v>
      </c>
      <c r="Q103" s="48">
        <v>1645571.2</v>
      </c>
      <c r="R103" s="36">
        <v>15216.5</v>
      </c>
      <c r="S103" s="54">
        <v>104310</v>
      </c>
      <c r="W103" s="37"/>
      <c r="X103" s="37"/>
    </row>
    <row r="104" spans="1:24">
      <c r="A104" s="34">
        <v>9608</v>
      </c>
      <c r="B104" s="35">
        <f t="shared" si="0"/>
        <v>923272.1</v>
      </c>
      <c r="C104" s="48">
        <f t="shared" si="1"/>
        <v>8623434.1000000015</v>
      </c>
      <c r="D104" s="36">
        <v>101561.8</v>
      </c>
      <c r="E104" s="48">
        <v>906480.6</v>
      </c>
      <c r="F104" s="36">
        <v>308299.3</v>
      </c>
      <c r="G104" s="48">
        <v>2837838</v>
      </c>
      <c r="H104" s="36">
        <v>156300.70000000001</v>
      </c>
      <c r="I104" s="48">
        <v>694030.3</v>
      </c>
      <c r="J104" s="36">
        <v>128146.6</v>
      </c>
      <c r="K104" s="48">
        <v>1149953.8</v>
      </c>
      <c r="L104" s="36">
        <v>157998.39999999999</v>
      </c>
      <c r="M104" s="48">
        <v>1122543.1000000001</v>
      </c>
      <c r="N104" s="36">
        <v>10601.2</v>
      </c>
      <c r="O104" s="48">
        <v>102342.9</v>
      </c>
      <c r="P104" s="36">
        <v>44703.9</v>
      </c>
      <c r="Q104" s="48">
        <v>1690275</v>
      </c>
      <c r="R104" s="36">
        <v>15660.2</v>
      </c>
      <c r="S104" s="54">
        <v>119970.4</v>
      </c>
      <c r="W104" s="37"/>
      <c r="X104" s="37"/>
    </row>
    <row r="105" spans="1:24">
      <c r="A105" s="34">
        <v>9609</v>
      </c>
      <c r="B105" s="35">
        <f t="shared" si="0"/>
        <v>1042203.2000000001</v>
      </c>
      <c r="C105" s="48">
        <f t="shared" si="1"/>
        <v>9665637.4000000022</v>
      </c>
      <c r="D105" s="36">
        <v>127988</v>
      </c>
      <c r="E105" s="48">
        <v>1034468.7</v>
      </c>
      <c r="F105" s="36">
        <v>452114.2</v>
      </c>
      <c r="G105" s="48">
        <v>3289952.2</v>
      </c>
      <c r="H105" s="36">
        <v>140200.5</v>
      </c>
      <c r="I105" s="48">
        <v>834230.8</v>
      </c>
      <c r="J105" s="36">
        <v>122185.3</v>
      </c>
      <c r="K105" s="48">
        <v>1272139.1000000001</v>
      </c>
      <c r="L105" s="36">
        <v>145588.6</v>
      </c>
      <c r="M105" s="48">
        <v>1268131.7</v>
      </c>
      <c r="N105" s="36">
        <v>17176.400000000001</v>
      </c>
      <c r="O105" s="48">
        <v>119519.3</v>
      </c>
      <c r="P105" s="36">
        <v>10198.299999999999</v>
      </c>
      <c r="Q105" s="48">
        <v>1700473.3</v>
      </c>
      <c r="R105" s="36">
        <v>26751.9</v>
      </c>
      <c r="S105" s="54">
        <v>146722.29999999999</v>
      </c>
      <c r="W105" s="37"/>
      <c r="X105" s="37"/>
    </row>
    <row r="106" spans="1:24">
      <c r="A106" s="34">
        <v>9610</v>
      </c>
      <c r="B106" s="35">
        <f t="shared" si="0"/>
        <v>1142158.0999999999</v>
      </c>
      <c r="C106" s="48">
        <f t="shared" si="1"/>
        <v>10807795.4</v>
      </c>
      <c r="D106" s="36">
        <v>112665.60000000001</v>
      </c>
      <c r="E106" s="48">
        <v>1147134.2</v>
      </c>
      <c r="F106" s="36">
        <v>368767.6</v>
      </c>
      <c r="G106" s="48">
        <v>3658719.8</v>
      </c>
      <c r="H106" s="36">
        <v>298401.59999999998</v>
      </c>
      <c r="I106" s="48">
        <v>1132632.3999999999</v>
      </c>
      <c r="J106" s="36">
        <v>125040.4</v>
      </c>
      <c r="K106" s="48">
        <v>1397179.5</v>
      </c>
      <c r="L106" s="36">
        <v>168392.2</v>
      </c>
      <c r="M106" s="48">
        <v>1436523.9</v>
      </c>
      <c r="N106" s="36">
        <v>30590</v>
      </c>
      <c r="O106" s="48">
        <v>150109.29999999999</v>
      </c>
      <c r="P106" s="36">
        <v>22003.3</v>
      </c>
      <c r="Q106" s="48">
        <v>1722476.7</v>
      </c>
      <c r="R106" s="36">
        <v>16297.4</v>
      </c>
      <c r="S106" s="54">
        <v>163019.6</v>
      </c>
      <c r="W106" s="37"/>
      <c r="X106" s="37"/>
    </row>
    <row r="107" spans="1:24">
      <c r="A107" s="34">
        <v>9611</v>
      </c>
      <c r="B107" s="35">
        <f t="shared" si="0"/>
        <v>1098611.9000000001</v>
      </c>
      <c r="C107" s="48">
        <f t="shared" si="1"/>
        <v>11906407.199999997</v>
      </c>
      <c r="D107" s="36">
        <v>155870.39999999999</v>
      </c>
      <c r="E107" s="48">
        <v>1303004.6000000001</v>
      </c>
      <c r="F107" s="36">
        <v>377394.8</v>
      </c>
      <c r="G107" s="48">
        <v>4036114.6</v>
      </c>
      <c r="H107" s="36">
        <v>264219.90000000002</v>
      </c>
      <c r="I107" s="48">
        <v>1396852.3</v>
      </c>
      <c r="J107" s="36">
        <v>130763</v>
      </c>
      <c r="K107" s="48">
        <v>1527942.5</v>
      </c>
      <c r="L107" s="36">
        <v>108573.3</v>
      </c>
      <c r="M107" s="48">
        <v>1545097.1</v>
      </c>
      <c r="N107" s="36">
        <v>21494.400000000001</v>
      </c>
      <c r="O107" s="48">
        <v>171603.7</v>
      </c>
      <c r="P107" s="36">
        <v>22986.5</v>
      </c>
      <c r="Q107" s="48">
        <v>1745463.2</v>
      </c>
      <c r="R107" s="36">
        <v>17309.599999999999</v>
      </c>
      <c r="S107" s="54">
        <v>180329.2</v>
      </c>
      <c r="W107" s="37"/>
      <c r="X107" s="37"/>
    </row>
    <row r="108" spans="1:24">
      <c r="A108" s="34">
        <v>9612</v>
      </c>
      <c r="B108" s="35">
        <f t="shared" si="0"/>
        <v>1876131.7000000004</v>
      </c>
      <c r="C108" s="48">
        <f t="shared" si="1"/>
        <v>13782538.9</v>
      </c>
      <c r="D108" s="36">
        <v>203905</v>
      </c>
      <c r="E108" s="48">
        <v>1506909.7</v>
      </c>
      <c r="F108" s="36">
        <v>424650.9</v>
      </c>
      <c r="G108" s="48">
        <v>4460765.5</v>
      </c>
      <c r="H108" s="36">
        <v>696615.3</v>
      </c>
      <c r="I108" s="48">
        <v>2093467.6</v>
      </c>
      <c r="J108" s="36">
        <v>221600.1</v>
      </c>
      <c r="K108" s="48">
        <v>1749542.7</v>
      </c>
      <c r="L108" s="36">
        <v>200142.8</v>
      </c>
      <c r="M108" s="48">
        <v>1745239.9</v>
      </c>
      <c r="N108" s="36">
        <v>86100.800000000003</v>
      </c>
      <c r="O108" s="48">
        <v>257704.4</v>
      </c>
      <c r="P108" s="36">
        <v>22426</v>
      </c>
      <c r="Q108" s="48">
        <v>1767889.1</v>
      </c>
      <c r="R108" s="36">
        <v>20690.8</v>
      </c>
      <c r="S108" s="54">
        <v>201020</v>
      </c>
      <c r="W108" s="37"/>
      <c r="X108" s="37"/>
    </row>
    <row r="109" spans="1:24">
      <c r="A109" s="34">
        <v>9701</v>
      </c>
      <c r="B109" s="35">
        <f t="shared" si="0"/>
        <v>1702711.9</v>
      </c>
      <c r="C109" s="48">
        <f t="shared" si="1"/>
        <v>1702711.9</v>
      </c>
      <c r="D109" s="36">
        <v>163445.70000000001</v>
      </c>
      <c r="E109" s="48">
        <v>163445.70000000001</v>
      </c>
      <c r="F109" s="36">
        <v>574436.30000000005</v>
      </c>
      <c r="G109" s="48">
        <v>574436.30000000005</v>
      </c>
      <c r="H109" s="36">
        <v>25224.5</v>
      </c>
      <c r="I109" s="48">
        <v>25224.5</v>
      </c>
      <c r="J109" s="36">
        <v>202859.2</v>
      </c>
      <c r="K109" s="48">
        <v>202859.2</v>
      </c>
      <c r="L109" s="36">
        <v>150034.1</v>
      </c>
      <c r="M109" s="48">
        <v>150034.1</v>
      </c>
      <c r="N109" s="36">
        <v>7257.4</v>
      </c>
      <c r="O109" s="48">
        <v>7257.4</v>
      </c>
      <c r="P109" s="36">
        <v>564734.80000000005</v>
      </c>
      <c r="Q109" s="48">
        <v>564734.80000000005</v>
      </c>
      <c r="R109" s="36">
        <v>14719.9</v>
      </c>
      <c r="S109" s="54">
        <v>14719.9</v>
      </c>
      <c r="W109" s="37"/>
      <c r="X109" s="37"/>
    </row>
    <row r="110" spans="1:24">
      <c r="A110" s="34">
        <v>9702</v>
      </c>
      <c r="B110" s="35">
        <f t="shared" si="0"/>
        <v>807743.8</v>
      </c>
      <c r="C110" s="48">
        <f t="shared" si="1"/>
        <v>2510455.7999999998</v>
      </c>
      <c r="D110" s="36">
        <v>129400.8</v>
      </c>
      <c r="E110" s="48">
        <v>292846.5</v>
      </c>
      <c r="F110" s="36">
        <v>316847</v>
      </c>
      <c r="G110" s="48">
        <v>891283.3</v>
      </c>
      <c r="H110" s="36">
        <v>17451.7</v>
      </c>
      <c r="I110" s="48">
        <v>42676.2</v>
      </c>
      <c r="J110" s="36">
        <v>191688.5</v>
      </c>
      <c r="K110" s="48">
        <v>394547.7</v>
      </c>
      <c r="L110" s="36">
        <v>100180.2</v>
      </c>
      <c r="M110" s="48">
        <v>250214.39999999999</v>
      </c>
      <c r="N110" s="36">
        <v>4875.8</v>
      </c>
      <c r="O110" s="48">
        <v>12133.2</v>
      </c>
      <c r="P110" s="36">
        <v>29441.5</v>
      </c>
      <c r="Q110" s="48">
        <v>594176.30000000005</v>
      </c>
      <c r="R110" s="36">
        <v>17858.3</v>
      </c>
      <c r="S110" s="54">
        <v>32578.2</v>
      </c>
      <c r="W110" s="37"/>
      <c r="X110" s="37"/>
    </row>
    <row r="111" spans="1:24">
      <c r="A111" s="34">
        <v>9703</v>
      </c>
      <c r="B111" s="35">
        <f t="shared" si="0"/>
        <v>861225.7</v>
      </c>
      <c r="C111" s="48">
        <f t="shared" si="1"/>
        <v>3371681.6</v>
      </c>
      <c r="D111" s="36">
        <v>100842</v>
      </c>
      <c r="E111" s="48">
        <v>393688.6</v>
      </c>
      <c r="F111" s="36">
        <v>322158.09999999998</v>
      </c>
      <c r="G111" s="48">
        <v>1213441.3999999999</v>
      </c>
      <c r="H111" s="36">
        <v>132971.4</v>
      </c>
      <c r="I111" s="48">
        <v>175647.6</v>
      </c>
      <c r="J111" s="36">
        <v>129511.3</v>
      </c>
      <c r="K111" s="48">
        <v>524059</v>
      </c>
      <c r="L111" s="36">
        <v>121945.2</v>
      </c>
      <c r="M111" s="48">
        <v>372159.6</v>
      </c>
      <c r="N111" s="36">
        <v>3686.5</v>
      </c>
      <c r="O111" s="48">
        <v>15819.7</v>
      </c>
      <c r="P111" s="36">
        <v>20644</v>
      </c>
      <c r="Q111" s="48">
        <v>614820.4</v>
      </c>
      <c r="R111" s="36">
        <v>29467.200000000001</v>
      </c>
      <c r="S111" s="54">
        <v>62045.3</v>
      </c>
      <c r="W111" s="37"/>
      <c r="X111" s="37"/>
    </row>
    <row r="112" spans="1:24">
      <c r="A112" s="34">
        <v>9704</v>
      </c>
      <c r="B112" s="35">
        <f t="shared" si="0"/>
        <v>779280.59999999986</v>
      </c>
      <c r="C112" s="48">
        <f t="shared" si="1"/>
        <v>4150962.3000000003</v>
      </c>
      <c r="D112" s="36">
        <v>95200.7</v>
      </c>
      <c r="E112" s="48">
        <v>488889.3</v>
      </c>
      <c r="F112" s="36">
        <v>345943.3</v>
      </c>
      <c r="G112" s="48">
        <v>1559384.6</v>
      </c>
      <c r="H112" s="36">
        <v>63642.8</v>
      </c>
      <c r="I112" s="48">
        <v>239290.4</v>
      </c>
      <c r="J112" s="36">
        <v>115037.9</v>
      </c>
      <c r="K112" s="48">
        <v>639096.9</v>
      </c>
      <c r="L112" s="36">
        <v>124236.5</v>
      </c>
      <c r="M112" s="48">
        <v>496396.1</v>
      </c>
      <c r="N112" s="36">
        <v>4269.2</v>
      </c>
      <c r="O112" s="48">
        <v>20089</v>
      </c>
      <c r="P112" s="36">
        <v>12536.5</v>
      </c>
      <c r="Q112" s="48">
        <v>627357</v>
      </c>
      <c r="R112" s="36">
        <v>18413.7</v>
      </c>
      <c r="S112" s="54">
        <v>80459</v>
      </c>
      <c r="W112" s="37"/>
      <c r="X112" s="37"/>
    </row>
    <row r="113" spans="1:24">
      <c r="A113" s="34">
        <v>9705</v>
      </c>
      <c r="B113" s="35">
        <f t="shared" si="0"/>
        <v>805551.6</v>
      </c>
      <c r="C113" s="48">
        <f t="shared" si="1"/>
        <v>4956513.8999999994</v>
      </c>
      <c r="D113" s="36">
        <v>126853.7</v>
      </c>
      <c r="E113" s="48">
        <v>615743</v>
      </c>
      <c r="F113" s="36">
        <v>361822.7</v>
      </c>
      <c r="G113" s="48">
        <v>1921207.3</v>
      </c>
      <c r="H113" s="36">
        <v>26595.5</v>
      </c>
      <c r="I113" s="48">
        <v>265885.8</v>
      </c>
      <c r="J113" s="36">
        <v>138839.79999999999</v>
      </c>
      <c r="K113" s="48">
        <v>777936.7</v>
      </c>
      <c r="L113" s="36">
        <v>116381.2</v>
      </c>
      <c r="M113" s="48">
        <v>612777.30000000005</v>
      </c>
      <c r="N113" s="36">
        <v>6890.3</v>
      </c>
      <c r="O113" s="48">
        <v>26979.3</v>
      </c>
      <c r="P113" s="36">
        <v>8738.9</v>
      </c>
      <c r="Q113" s="48">
        <v>636095.9</v>
      </c>
      <c r="R113" s="36">
        <v>19429.5</v>
      </c>
      <c r="S113" s="54">
        <v>99888.6</v>
      </c>
      <c r="W113" s="37"/>
      <c r="X113" s="37"/>
    </row>
    <row r="114" spans="1:24">
      <c r="A114" s="34">
        <v>9706</v>
      </c>
      <c r="B114" s="35">
        <f t="shared" si="0"/>
        <v>1363355.7000000002</v>
      </c>
      <c r="C114" s="48">
        <f t="shared" si="1"/>
        <v>6319869.9000000013</v>
      </c>
      <c r="D114" s="36">
        <v>105285.8</v>
      </c>
      <c r="E114" s="48">
        <v>721028.9</v>
      </c>
      <c r="F114" s="36">
        <v>319471.2</v>
      </c>
      <c r="G114" s="48">
        <v>2240678.5</v>
      </c>
      <c r="H114" s="36">
        <v>103502.9</v>
      </c>
      <c r="I114" s="48">
        <v>369388.79999999999</v>
      </c>
      <c r="J114" s="36">
        <v>124735</v>
      </c>
      <c r="K114" s="48">
        <v>902671.8</v>
      </c>
      <c r="L114" s="36">
        <v>110950.6</v>
      </c>
      <c r="M114" s="48">
        <v>723727.9</v>
      </c>
      <c r="N114" s="36">
        <v>19627.599999999999</v>
      </c>
      <c r="O114" s="48">
        <v>46606.9</v>
      </c>
      <c r="P114" s="36">
        <v>562354</v>
      </c>
      <c r="Q114" s="48">
        <v>1198449.8999999999</v>
      </c>
      <c r="R114" s="36">
        <v>17428.599999999999</v>
      </c>
      <c r="S114" s="54">
        <v>117317.2</v>
      </c>
      <c r="W114" s="37"/>
      <c r="X114" s="37"/>
    </row>
    <row r="115" spans="1:24">
      <c r="A115" s="34">
        <v>9707</v>
      </c>
      <c r="B115" s="35">
        <f t="shared" si="0"/>
        <v>1251320.7000000002</v>
      </c>
      <c r="C115" s="48">
        <f t="shared" si="1"/>
        <v>7571190.3999999994</v>
      </c>
      <c r="D115" s="36">
        <v>126914.3</v>
      </c>
      <c r="E115" s="48">
        <v>847943.1</v>
      </c>
      <c r="F115" s="36">
        <v>287379.8</v>
      </c>
      <c r="G115" s="48">
        <v>2528058.2999999998</v>
      </c>
      <c r="H115" s="36">
        <v>57131.9</v>
      </c>
      <c r="I115" s="48">
        <v>426520.6</v>
      </c>
      <c r="J115" s="36">
        <v>124856.9</v>
      </c>
      <c r="K115" s="48">
        <v>1027528.7</v>
      </c>
      <c r="L115" s="36">
        <v>150990.20000000001</v>
      </c>
      <c r="M115" s="48">
        <v>874718.1</v>
      </c>
      <c r="N115" s="36">
        <v>7518.4</v>
      </c>
      <c r="O115" s="48">
        <v>54125.3</v>
      </c>
      <c r="P115" s="36">
        <v>478077.7</v>
      </c>
      <c r="Q115" s="48">
        <v>1676527.6</v>
      </c>
      <c r="R115" s="36">
        <v>18451.5</v>
      </c>
      <c r="S115" s="54">
        <v>135768.70000000001</v>
      </c>
      <c r="W115" s="37"/>
      <c r="X115" s="37"/>
    </row>
    <row r="116" spans="1:24">
      <c r="A116" s="34">
        <v>9708</v>
      </c>
      <c r="B116" s="35">
        <f t="shared" si="0"/>
        <v>964621</v>
      </c>
      <c r="C116" s="48">
        <f t="shared" si="1"/>
        <v>8535811.6999999993</v>
      </c>
      <c r="D116" s="36">
        <v>119699.6</v>
      </c>
      <c r="E116" s="48">
        <v>967642.8</v>
      </c>
      <c r="F116" s="36">
        <v>374723.1</v>
      </c>
      <c r="G116" s="48">
        <v>2902781.4</v>
      </c>
      <c r="H116" s="36">
        <v>123549.5</v>
      </c>
      <c r="I116" s="48">
        <v>550070.19999999995</v>
      </c>
      <c r="J116" s="36">
        <v>134411.29999999999</v>
      </c>
      <c r="K116" s="48">
        <v>1161940</v>
      </c>
      <c r="L116" s="36">
        <v>133702.9</v>
      </c>
      <c r="M116" s="48">
        <v>1008421.1</v>
      </c>
      <c r="N116" s="36">
        <v>13603</v>
      </c>
      <c r="O116" s="48">
        <v>67728.3</v>
      </c>
      <c r="P116" s="36">
        <v>44466.7</v>
      </c>
      <c r="Q116" s="48">
        <v>1720994.3</v>
      </c>
      <c r="R116" s="36">
        <v>20464.900000000001</v>
      </c>
      <c r="S116" s="54">
        <v>156233.60000000001</v>
      </c>
      <c r="W116" s="37"/>
      <c r="X116" s="37"/>
    </row>
    <row r="117" spans="1:24">
      <c r="A117" s="34">
        <v>9709</v>
      </c>
      <c r="B117" s="35">
        <f t="shared" si="0"/>
        <v>1127579.2</v>
      </c>
      <c r="C117" s="48">
        <f t="shared" si="1"/>
        <v>9663391</v>
      </c>
      <c r="D117" s="36">
        <v>137478.5</v>
      </c>
      <c r="E117" s="48">
        <v>1105121.3</v>
      </c>
      <c r="F117" s="36">
        <v>426243</v>
      </c>
      <c r="G117" s="48">
        <v>3329024.4</v>
      </c>
      <c r="H117" s="36">
        <v>251762</v>
      </c>
      <c r="I117" s="48">
        <v>801832.2</v>
      </c>
      <c r="J117" s="36">
        <v>131483</v>
      </c>
      <c r="K117" s="48">
        <v>1293423</v>
      </c>
      <c r="L117" s="36">
        <v>104131.2</v>
      </c>
      <c r="M117" s="48">
        <v>1112552.3</v>
      </c>
      <c r="N117" s="36">
        <v>24083</v>
      </c>
      <c r="O117" s="48">
        <v>91811.3</v>
      </c>
      <c r="P117" s="36">
        <v>20288.599999999999</v>
      </c>
      <c r="Q117" s="48">
        <v>1741283</v>
      </c>
      <c r="R117" s="36">
        <v>32109.9</v>
      </c>
      <c r="S117" s="54">
        <v>188343.5</v>
      </c>
      <c r="W117" s="37"/>
      <c r="X117" s="37"/>
    </row>
    <row r="118" spans="1:24">
      <c r="A118" s="34">
        <v>9710</v>
      </c>
      <c r="B118" s="35">
        <f t="shared" si="0"/>
        <v>1052268.8</v>
      </c>
      <c r="C118" s="48">
        <f t="shared" si="1"/>
        <v>10715659.799999999</v>
      </c>
      <c r="D118" s="36">
        <v>115945.9</v>
      </c>
      <c r="E118" s="48">
        <v>1221067.2</v>
      </c>
      <c r="F118" s="36">
        <v>471669.1</v>
      </c>
      <c r="G118" s="48">
        <v>3800693.5</v>
      </c>
      <c r="H118" s="36">
        <v>154007.5</v>
      </c>
      <c r="I118" s="48">
        <v>955839.7</v>
      </c>
      <c r="J118" s="36">
        <v>127258.5</v>
      </c>
      <c r="K118" s="48">
        <v>1420681.5</v>
      </c>
      <c r="L118" s="36">
        <v>118828.9</v>
      </c>
      <c r="M118" s="48">
        <v>1231381.2</v>
      </c>
      <c r="N118" s="36">
        <v>25952.1</v>
      </c>
      <c r="O118" s="48">
        <v>117763.4</v>
      </c>
      <c r="P118" s="36">
        <v>28063.7</v>
      </c>
      <c r="Q118" s="48">
        <v>1769346.7</v>
      </c>
      <c r="R118" s="36">
        <v>10543.1</v>
      </c>
      <c r="S118" s="54">
        <v>198886.6</v>
      </c>
      <c r="W118" s="37"/>
      <c r="X118" s="37"/>
    </row>
    <row r="119" spans="1:24">
      <c r="A119" s="34">
        <v>9711</v>
      </c>
      <c r="B119" s="35">
        <f t="shared" si="0"/>
        <v>929553.99999999988</v>
      </c>
      <c r="C119" s="48">
        <f t="shared" si="1"/>
        <v>11645213.9</v>
      </c>
      <c r="D119" s="36">
        <v>131481.29999999999</v>
      </c>
      <c r="E119" s="48">
        <v>1352548.5</v>
      </c>
      <c r="F119" s="36">
        <v>314813.09999999998</v>
      </c>
      <c r="G119" s="48">
        <v>4115506.6</v>
      </c>
      <c r="H119" s="36">
        <v>159368.6</v>
      </c>
      <c r="I119" s="48">
        <v>1115208.3999999999</v>
      </c>
      <c r="J119" s="36">
        <v>133799.5</v>
      </c>
      <c r="K119" s="48">
        <v>1554481</v>
      </c>
      <c r="L119" s="36">
        <v>139765.20000000001</v>
      </c>
      <c r="M119" s="48">
        <v>1371146.4</v>
      </c>
      <c r="N119" s="36">
        <v>25929.7</v>
      </c>
      <c r="O119" s="48">
        <v>143693.1</v>
      </c>
      <c r="P119" s="36">
        <v>7829.9</v>
      </c>
      <c r="Q119" s="48">
        <v>1777176.6</v>
      </c>
      <c r="R119" s="36">
        <v>16566.7</v>
      </c>
      <c r="S119" s="54">
        <v>215453.3</v>
      </c>
      <c r="W119" s="37"/>
      <c r="X119" s="37"/>
    </row>
    <row r="120" spans="1:24">
      <c r="A120" s="34">
        <v>9712</v>
      </c>
      <c r="B120" s="35">
        <f t="shared" si="0"/>
        <v>2131742.6999999997</v>
      </c>
      <c r="C120" s="48">
        <f t="shared" si="1"/>
        <v>13776956.600000001</v>
      </c>
      <c r="D120" s="36">
        <v>225795.1</v>
      </c>
      <c r="E120" s="48">
        <v>1578343.6</v>
      </c>
      <c r="F120" s="36">
        <v>561932.5</v>
      </c>
      <c r="G120" s="48">
        <v>4677439.0999999996</v>
      </c>
      <c r="H120" s="36">
        <v>739935.6</v>
      </c>
      <c r="I120" s="48">
        <v>1855144</v>
      </c>
      <c r="J120" s="36">
        <v>227230.3</v>
      </c>
      <c r="K120" s="48">
        <v>1781711.3</v>
      </c>
      <c r="L120" s="36">
        <v>178515.20000000001</v>
      </c>
      <c r="M120" s="48">
        <v>1549661.6</v>
      </c>
      <c r="N120" s="36">
        <v>152090.4</v>
      </c>
      <c r="O120" s="48">
        <v>295783.40000000002</v>
      </c>
      <c r="P120" s="36">
        <v>16903</v>
      </c>
      <c r="Q120" s="48">
        <v>1794079.8</v>
      </c>
      <c r="R120" s="36">
        <v>29340.6</v>
      </c>
      <c r="S120" s="54">
        <v>244793.8</v>
      </c>
      <c r="W120" s="37"/>
      <c r="X120" s="37"/>
    </row>
    <row r="121" spans="1:24">
      <c r="A121" s="34">
        <v>9801</v>
      </c>
      <c r="B121" s="35">
        <f t="shared" si="0"/>
        <v>1930791.9999999998</v>
      </c>
      <c r="C121" s="48">
        <f t="shared" si="1"/>
        <v>1930791.9999999998</v>
      </c>
      <c r="D121" s="36">
        <v>216555.3</v>
      </c>
      <c r="E121" s="48">
        <v>216555.3</v>
      </c>
      <c r="F121" s="36">
        <v>613057</v>
      </c>
      <c r="G121" s="48">
        <v>613057</v>
      </c>
      <c r="H121" s="36">
        <v>36118.199999999997</v>
      </c>
      <c r="I121" s="48">
        <v>36118.199999999997</v>
      </c>
      <c r="J121" s="36">
        <v>301511</v>
      </c>
      <c r="K121" s="48">
        <v>301511</v>
      </c>
      <c r="L121" s="36">
        <v>157215.4</v>
      </c>
      <c r="M121" s="48">
        <v>157215.4</v>
      </c>
      <c r="N121" s="36">
        <v>8219.2000000000007</v>
      </c>
      <c r="O121" s="48">
        <v>8219.2000000000007</v>
      </c>
      <c r="P121" s="36">
        <v>589639.6</v>
      </c>
      <c r="Q121" s="48">
        <v>589639.6</v>
      </c>
      <c r="R121" s="36">
        <v>8476.2999999999993</v>
      </c>
      <c r="S121" s="54">
        <v>8476.2999999999993</v>
      </c>
      <c r="W121" s="37"/>
      <c r="X121" s="37"/>
    </row>
    <row r="122" spans="1:24">
      <c r="A122" s="34">
        <v>9802</v>
      </c>
      <c r="B122" s="35">
        <f t="shared" si="0"/>
        <v>671066</v>
      </c>
      <c r="C122" s="48">
        <f t="shared" si="1"/>
        <v>2601859</v>
      </c>
      <c r="D122" s="36">
        <f>ROUND(87290.2,0)</f>
        <v>87290</v>
      </c>
      <c r="E122" s="48">
        <f>ROUND(303845.5,0)</f>
        <v>303846</v>
      </c>
      <c r="F122" s="36">
        <f>ROUND(291235.1,0)</f>
        <v>291235</v>
      </c>
      <c r="G122" s="48">
        <f>ROUND(904292.1,0)</f>
        <v>904292</v>
      </c>
      <c r="H122" s="36">
        <f>ROUND(19131.1,0)</f>
        <v>19131</v>
      </c>
      <c r="I122" s="48">
        <f>ROUND(55249.3,0)</f>
        <v>55249</v>
      </c>
      <c r="J122" s="36">
        <f>ROUND(105574.8,0)</f>
        <v>105575</v>
      </c>
      <c r="K122" s="48">
        <f>ROUND(407085.8,0)</f>
        <v>407086</v>
      </c>
      <c r="L122" s="36">
        <f>ROUND(114733.1,0)</f>
        <v>114733</v>
      </c>
      <c r="M122" s="48">
        <f>ROUND(271948.5,0)</f>
        <v>271949</v>
      </c>
      <c r="N122" s="36">
        <f>ROUND(18821.8,0)</f>
        <v>18822</v>
      </c>
      <c r="O122" s="48">
        <f>ROUND(27040.9,0)</f>
        <v>27041</v>
      </c>
      <c r="P122" s="36">
        <f>ROUND(25721.3,0)</f>
        <v>25721</v>
      </c>
      <c r="Q122" s="48">
        <f>ROUND(615360.9,0)</f>
        <v>615361</v>
      </c>
      <c r="R122" s="36">
        <f>ROUND(8558.9,0)</f>
        <v>8559</v>
      </c>
      <c r="S122" s="54">
        <f>ROUND(17035.2,0)</f>
        <v>17035</v>
      </c>
      <c r="W122" s="37"/>
      <c r="X122" s="37"/>
    </row>
    <row r="123" spans="1:24">
      <c r="A123" s="34">
        <v>9803</v>
      </c>
      <c r="B123" s="35">
        <f t="shared" si="0"/>
        <v>721374</v>
      </c>
      <c r="C123" s="48">
        <f t="shared" si="1"/>
        <v>3323232</v>
      </c>
      <c r="D123" s="36">
        <f>ROUND(108021.6,0)</f>
        <v>108022</v>
      </c>
      <c r="E123" s="48">
        <f>ROUND(411867.1,0)</f>
        <v>411867</v>
      </c>
      <c r="F123" s="36">
        <f>ROUND(305384.4,0)</f>
        <v>305384</v>
      </c>
      <c r="G123" s="48">
        <f>ROUND(1209676.5,0)</f>
        <v>1209677</v>
      </c>
      <c r="H123" s="36">
        <f>ROUND(19835.5,0)</f>
        <v>19836</v>
      </c>
      <c r="I123" s="48">
        <f>ROUND(75084.8,0)</f>
        <v>75085</v>
      </c>
      <c r="J123" s="36">
        <f>ROUND(133579.2,0)</f>
        <v>133579</v>
      </c>
      <c r="K123" s="48">
        <f>ROUND(540664.9,0)</f>
        <v>540665</v>
      </c>
      <c r="L123" s="36">
        <f>ROUND(105006.8,0)</f>
        <v>105007</v>
      </c>
      <c r="M123" s="48">
        <f>ROUND(376955.3,0)</f>
        <v>376955</v>
      </c>
      <c r="N123" s="36">
        <f>ROUND(12102.6,0)</f>
        <v>12103</v>
      </c>
      <c r="O123" s="48">
        <f>ROUND(39143.5,0)</f>
        <v>39144</v>
      </c>
      <c r="P123" s="36">
        <f>ROUND(22804.4,0)</f>
        <v>22804</v>
      </c>
      <c r="Q123" s="48">
        <f>ROUND(638165.3,0)</f>
        <v>638165</v>
      </c>
      <c r="R123" s="36">
        <f>ROUND(14639.1,0)</f>
        <v>14639</v>
      </c>
      <c r="S123" s="54">
        <f>ROUND(31674.3,0)</f>
        <v>31674</v>
      </c>
      <c r="W123" s="37"/>
      <c r="X123" s="37"/>
    </row>
    <row r="124" spans="1:24">
      <c r="A124" s="34">
        <v>9804</v>
      </c>
      <c r="B124" s="35">
        <f t="shared" ref="B124:B137" si="2">SUM(D124,F124,H124,J124,L124,N124,P124,R124,T124)</f>
        <v>869343</v>
      </c>
      <c r="C124" s="48">
        <f t="shared" ref="C124:C137" si="3">SUM(E124,G124,I124,K124,M124,O124,Q124,S124,U124)</f>
        <v>4192576</v>
      </c>
      <c r="D124" s="36">
        <f>ROUND(103708.7,0)</f>
        <v>103709</v>
      </c>
      <c r="E124" s="48">
        <f>ROUND(515575.8,0)</f>
        <v>515576</v>
      </c>
      <c r="F124" s="36">
        <f>ROUND(465617.1,0)</f>
        <v>465617</v>
      </c>
      <c r="G124" s="48">
        <f>ROUND(1675293.6,0)</f>
        <v>1675294</v>
      </c>
      <c r="H124" s="36">
        <f>ROUND(31354.4,0)</f>
        <v>31354</v>
      </c>
      <c r="I124" s="48">
        <f>ROUND(106439.2,0)</f>
        <v>106439</v>
      </c>
      <c r="J124" s="36">
        <f>ROUND(122354.8,0)</f>
        <v>122355</v>
      </c>
      <c r="K124" s="48">
        <f>ROUND(663019.8,0)</f>
        <v>663020</v>
      </c>
      <c r="L124" s="36">
        <f>ROUND(105658.8,0)</f>
        <v>105659</v>
      </c>
      <c r="M124" s="48">
        <f>ROUND(482614.1,0)</f>
        <v>482614</v>
      </c>
      <c r="N124" s="36">
        <f>ROUND(24851.9,0)</f>
        <v>24852</v>
      </c>
      <c r="O124" s="48">
        <f>ROUND(63995.4,0)</f>
        <v>63995</v>
      </c>
      <c r="P124" s="36">
        <f>ROUND(7889.4,0)</f>
        <v>7889</v>
      </c>
      <c r="Q124" s="48">
        <f>ROUND(646054.7,0)</f>
        <v>646055</v>
      </c>
      <c r="R124" s="36">
        <f>ROUND(7908.4,0)</f>
        <v>7908</v>
      </c>
      <c r="S124" s="54">
        <f>ROUND(39582.7,0)</f>
        <v>39583</v>
      </c>
      <c r="W124" s="37"/>
      <c r="X124" s="37"/>
    </row>
    <row r="125" spans="1:24">
      <c r="A125" s="34">
        <v>9805</v>
      </c>
      <c r="B125" s="35">
        <f t="shared" si="2"/>
        <v>789426</v>
      </c>
      <c r="C125" s="48">
        <f t="shared" si="3"/>
        <v>4982001</v>
      </c>
      <c r="D125" s="36">
        <f>ROUND(113924.9,0)</f>
        <v>113925</v>
      </c>
      <c r="E125" s="48">
        <f>ROUND(629500.6,0)</f>
        <v>629501</v>
      </c>
      <c r="F125" s="36">
        <f>ROUND(325214.6,0)</f>
        <v>325215</v>
      </c>
      <c r="G125" s="48">
        <f>ROUND(2000508.2,0)</f>
        <v>2000508</v>
      </c>
      <c r="H125" s="36">
        <f>ROUND(38105.8,0)</f>
        <v>38106</v>
      </c>
      <c r="I125" s="48">
        <f>ROUND(144545,0)</f>
        <v>144545</v>
      </c>
      <c r="J125" s="36">
        <f>ROUND(128358.2,0)</f>
        <v>128358</v>
      </c>
      <c r="K125" s="48">
        <f>ROUND(791378,0)</f>
        <v>791378</v>
      </c>
      <c r="L125" s="36">
        <f>ROUND(156763.6,0)</f>
        <v>156764</v>
      </c>
      <c r="M125" s="48">
        <f>ROUND(639377.7,0)</f>
        <v>639378</v>
      </c>
      <c r="N125" s="36">
        <f>ROUND(13818.6,0)</f>
        <v>13819</v>
      </c>
      <c r="O125" s="48">
        <f>ROUND(77813.9,0)</f>
        <v>77814</v>
      </c>
      <c r="P125" s="36">
        <f>ROUND(5641.2,0)</f>
        <v>5641</v>
      </c>
      <c r="Q125" s="48">
        <f>ROUND(651696,0)</f>
        <v>651696</v>
      </c>
      <c r="R125" s="36">
        <f>ROUND(7598.4,0)</f>
        <v>7598</v>
      </c>
      <c r="S125" s="54">
        <f>ROUND(47181.1,0)</f>
        <v>47181</v>
      </c>
      <c r="W125" s="37"/>
      <c r="X125" s="37"/>
    </row>
    <row r="126" spans="1:24">
      <c r="A126" s="34">
        <v>9806</v>
      </c>
      <c r="B126" s="35">
        <f t="shared" si="2"/>
        <v>1378200</v>
      </c>
      <c r="C126" s="48">
        <f t="shared" si="3"/>
        <v>6360201</v>
      </c>
      <c r="D126" s="36">
        <f>ROUND(110324.6,0)</f>
        <v>110325</v>
      </c>
      <c r="E126" s="48">
        <f>ROUND(739825.2,0)</f>
        <v>739825</v>
      </c>
      <c r="F126" s="36">
        <f>ROUND(332795.3,0)</f>
        <v>332795</v>
      </c>
      <c r="G126" s="48">
        <f>ROUND(2333303.5,0)</f>
        <v>2333304</v>
      </c>
      <c r="H126" s="36">
        <f>ROUND(127419.6,0)</f>
        <v>127420</v>
      </c>
      <c r="I126" s="48">
        <f>ROUND(271964.6,0)</f>
        <v>271965</v>
      </c>
      <c r="J126" s="36">
        <f>ROUND(130655.3,0)</f>
        <v>130655</v>
      </c>
      <c r="K126" s="48">
        <f>ROUND(922033.3,0)</f>
        <v>922033</v>
      </c>
      <c r="L126" s="36">
        <f>ROUND(117807.4,0)</f>
        <v>117807</v>
      </c>
      <c r="M126" s="48">
        <f>ROUND(757185.1,0)</f>
        <v>757185</v>
      </c>
      <c r="N126" s="36">
        <f>ROUND(12465.9,0)</f>
        <v>12466</v>
      </c>
      <c r="O126" s="48">
        <f>ROUND(90279.8,0)</f>
        <v>90280</v>
      </c>
      <c r="P126" s="36">
        <f>ROUND(539093.5,0)</f>
        <v>539094</v>
      </c>
      <c r="Q126" s="48">
        <f>ROUND(1190789.5,0)</f>
        <v>1190790</v>
      </c>
      <c r="R126" s="36">
        <f>ROUND(7637.8,0)</f>
        <v>7638</v>
      </c>
      <c r="S126" s="54">
        <f>ROUND(54818.9,0)</f>
        <v>54819</v>
      </c>
      <c r="W126" s="37"/>
      <c r="X126" s="37"/>
    </row>
    <row r="127" spans="1:24">
      <c r="A127" s="34">
        <v>9807</v>
      </c>
      <c r="B127" s="35">
        <f t="shared" si="2"/>
        <v>1368509</v>
      </c>
      <c r="C127" s="48">
        <f t="shared" si="3"/>
        <v>7728710</v>
      </c>
      <c r="D127" s="36">
        <f>ROUND(152337.1,0)</f>
        <v>152337</v>
      </c>
      <c r="E127" s="48">
        <f>ROUND(892162.4,0)</f>
        <v>892162</v>
      </c>
      <c r="F127" s="36">
        <f>ROUND(306781.3,0)</f>
        <v>306781</v>
      </c>
      <c r="G127" s="48">
        <f>ROUND(2640084.8,0)</f>
        <v>2640085</v>
      </c>
      <c r="H127" s="36">
        <f>ROUND(88994,0)</f>
        <v>88994</v>
      </c>
      <c r="I127" s="48">
        <f>ROUND(360958.6,0)</f>
        <v>360959</v>
      </c>
      <c r="J127" s="36">
        <f>ROUND(133207,0)</f>
        <v>133207</v>
      </c>
      <c r="K127" s="48">
        <f>ROUND(1055240.2,0)</f>
        <v>1055240</v>
      </c>
      <c r="L127" s="36">
        <f>ROUND(171768.9,0)</f>
        <v>171769</v>
      </c>
      <c r="M127" s="48">
        <f>ROUND(928954,0)</f>
        <v>928954</v>
      </c>
      <c r="N127" s="36">
        <f>ROUND(9998.7,0)</f>
        <v>9999</v>
      </c>
      <c r="O127" s="48">
        <f>ROUND(100278.5,0)</f>
        <v>100279</v>
      </c>
      <c r="P127" s="36">
        <f>ROUND(498150.3,0)</f>
        <v>498150</v>
      </c>
      <c r="Q127" s="48">
        <f>ROUND(1688939.8,0)</f>
        <v>1688940</v>
      </c>
      <c r="R127" s="36">
        <f>ROUND(7272.3,0)</f>
        <v>7272</v>
      </c>
      <c r="S127" s="54">
        <f>ROUND(62091.2,0)</f>
        <v>62091</v>
      </c>
      <c r="W127" s="37"/>
      <c r="X127" s="37"/>
    </row>
    <row r="128" spans="1:24">
      <c r="A128" s="34">
        <v>9808</v>
      </c>
      <c r="B128" s="35">
        <f t="shared" si="2"/>
        <v>858370</v>
      </c>
      <c r="C128" s="48">
        <f t="shared" si="3"/>
        <v>8587080</v>
      </c>
      <c r="D128" s="36">
        <f>ROUND(105935.4,0)</f>
        <v>105935</v>
      </c>
      <c r="E128" s="48">
        <f>ROUND(998097.8,0)</f>
        <v>998098</v>
      </c>
      <c r="F128" s="36">
        <f>ROUND(309371.2,0)</f>
        <v>309371</v>
      </c>
      <c r="G128" s="48">
        <f>ROUND(2949455.9,0)</f>
        <v>2949456</v>
      </c>
      <c r="H128" s="36">
        <f>ROUND(129867.6,0)</f>
        <v>129868</v>
      </c>
      <c r="I128" s="48">
        <f>ROUND(490826.2,0)</f>
        <v>490826</v>
      </c>
      <c r="J128" s="36">
        <f>ROUND(128131.8,0)</f>
        <v>128132</v>
      </c>
      <c r="K128" s="48">
        <f>ROUND(1183372,0)</f>
        <v>1183372</v>
      </c>
      <c r="L128" s="36">
        <f>ROUND(118477.1,0)</f>
        <v>118477</v>
      </c>
      <c r="M128" s="48">
        <f>ROUND(1047431.1,0)</f>
        <v>1047431</v>
      </c>
      <c r="N128" s="36">
        <f>ROUND(20611.2,0)</f>
        <v>20611</v>
      </c>
      <c r="O128" s="48">
        <f>ROUND(120889.7,0)</f>
        <v>120890</v>
      </c>
      <c r="P128" s="36">
        <f>ROUND(38546.7,0)</f>
        <v>38547</v>
      </c>
      <c r="Q128" s="48">
        <f>ROUND(1727486.5,0)</f>
        <v>1727487</v>
      </c>
      <c r="R128" s="36">
        <f>ROUND(7428.6,0)</f>
        <v>7429</v>
      </c>
      <c r="S128" s="54">
        <f>ROUND(69519.8,0)</f>
        <v>69520</v>
      </c>
      <c r="W128" s="37"/>
      <c r="X128" s="37"/>
    </row>
    <row r="129" spans="1:29">
      <c r="A129" s="34">
        <v>9809</v>
      </c>
      <c r="B129" s="35">
        <f t="shared" si="2"/>
        <v>1285708</v>
      </c>
      <c r="C129" s="48">
        <f t="shared" si="3"/>
        <v>9872788</v>
      </c>
      <c r="D129" s="36">
        <f>ROUND(169714.4,0)</f>
        <v>169714</v>
      </c>
      <c r="E129" s="48">
        <f>ROUND(1167812.2,0)</f>
        <v>1167812</v>
      </c>
      <c r="F129" s="36">
        <f>ROUND(641795.6,0)</f>
        <v>641796</v>
      </c>
      <c r="G129" s="48">
        <f>ROUND(3591251.6,0)</f>
        <v>3591252</v>
      </c>
      <c r="H129" s="36">
        <f>ROUND(148412.2,0)</f>
        <v>148412</v>
      </c>
      <c r="I129" s="48">
        <f>ROUND(639238.5,0)</f>
        <v>639239</v>
      </c>
      <c r="J129" s="36">
        <f>ROUND(143955.3,0)</f>
        <v>143955</v>
      </c>
      <c r="K129" s="48">
        <f>ROUND(1327327.3,0)</f>
        <v>1327327</v>
      </c>
      <c r="L129" s="36">
        <f>ROUND(125418.9,0)</f>
        <v>125419</v>
      </c>
      <c r="M129" s="48">
        <f>ROUND(1172850,0)</f>
        <v>1172850</v>
      </c>
      <c r="N129" s="36">
        <f>ROUND(22417.4,0)</f>
        <v>22417</v>
      </c>
      <c r="O129" s="48">
        <f>ROUND(143307.1,0)</f>
        <v>143307</v>
      </c>
      <c r="P129" s="36">
        <f>ROUND(21546.9,0)</f>
        <v>21547</v>
      </c>
      <c r="Q129" s="48">
        <f>ROUND(1749033.4,0)</f>
        <v>1749033</v>
      </c>
      <c r="R129" s="36">
        <f>ROUND(12448.1,0)</f>
        <v>12448</v>
      </c>
      <c r="S129" s="54">
        <f>ROUND(81968,0)</f>
        <v>81968</v>
      </c>
      <c r="W129" s="37"/>
      <c r="X129" s="37"/>
    </row>
    <row r="130" spans="1:29">
      <c r="A130" s="34">
        <v>9810</v>
      </c>
      <c r="B130" s="35">
        <f t="shared" si="2"/>
        <v>1142137</v>
      </c>
      <c r="C130" s="48">
        <f t="shared" si="3"/>
        <v>11014926</v>
      </c>
      <c r="D130" s="36">
        <f>ROUND(130601.7,0)</f>
        <v>130602</v>
      </c>
      <c r="E130" s="48">
        <f>ROUND(1298413.9,0)</f>
        <v>1298414</v>
      </c>
      <c r="F130" s="36">
        <f>ROUND(399665.9,0)</f>
        <v>399666</v>
      </c>
      <c r="G130" s="48">
        <f>ROUND(3990917.5,0)</f>
        <v>3990918</v>
      </c>
      <c r="H130" s="36">
        <f>ROUND(272769.2,0)</f>
        <v>272769</v>
      </c>
      <c r="I130" s="48">
        <f>ROUND(912007.6,0)</f>
        <v>912008</v>
      </c>
      <c r="J130" s="36">
        <f>ROUND(132736.4,0)</f>
        <v>132736</v>
      </c>
      <c r="K130" s="48">
        <f>ROUND(1460063.8,0)</f>
        <v>1460064</v>
      </c>
      <c r="L130" s="36">
        <f>ROUND(150986,0)</f>
        <v>150986</v>
      </c>
      <c r="M130" s="48">
        <f>ROUND(1323836,0)</f>
        <v>1323836</v>
      </c>
      <c r="N130" s="36">
        <f>ROUND(24857,0)</f>
        <v>24857</v>
      </c>
      <c r="O130" s="48">
        <f>ROUND(168164.2,0)</f>
        <v>168164</v>
      </c>
      <c r="P130" s="36">
        <f>ROUND(22887.8,0)</f>
        <v>22888</v>
      </c>
      <c r="Q130" s="48">
        <f>ROUND(1771921.2,0)</f>
        <v>1771921</v>
      </c>
      <c r="R130" s="36">
        <f>ROUND(7633.4,0)</f>
        <v>7633</v>
      </c>
      <c r="S130" s="54">
        <f>ROUND(89601.4,0)</f>
        <v>89601</v>
      </c>
      <c r="W130" s="37"/>
      <c r="X130" s="37"/>
    </row>
    <row r="131" spans="1:29">
      <c r="A131" s="34">
        <v>9811</v>
      </c>
      <c r="B131" s="35">
        <f t="shared" si="2"/>
        <v>1161215</v>
      </c>
      <c r="C131" s="48">
        <f t="shared" si="3"/>
        <v>12176143</v>
      </c>
      <c r="D131" s="36">
        <f>ROUND(128982.7,0)</f>
        <v>128983</v>
      </c>
      <c r="E131" s="48">
        <f>ROUND(1427396.6,0)</f>
        <v>1427397</v>
      </c>
      <c r="F131" s="36">
        <f>ROUND(392345.2,0)</f>
        <v>392345</v>
      </c>
      <c r="G131" s="48">
        <f>ROUND(4383262.8,0)</f>
        <v>4383263</v>
      </c>
      <c r="H131" s="36">
        <f>ROUND(329506.1,0)</f>
        <v>329506</v>
      </c>
      <c r="I131" s="48">
        <f>ROUND(1241513.7,0)</f>
        <v>1241514</v>
      </c>
      <c r="J131" s="36">
        <f>ROUND(135097.8,0)</f>
        <v>135098</v>
      </c>
      <c r="K131" s="48">
        <f>ROUND(1595161.6,0)</f>
        <v>1595162</v>
      </c>
      <c r="L131" s="36">
        <f>ROUND(142468.6,0)</f>
        <v>142469</v>
      </c>
      <c r="M131" s="48">
        <f>ROUND(1466304.6,0)</f>
        <v>1466305</v>
      </c>
      <c r="N131" s="36">
        <f>ROUND(15052.9,0)</f>
        <v>15053</v>
      </c>
      <c r="O131" s="48">
        <f>ROUND(183217,0)</f>
        <v>183217</v>
      </c>
      <c r="P131" s="36">
        <f>ROUND(10285.4,0)</f>
        <v>10285</v>
      </c>
      <c r="Q131" s="48">
        <f>ROUND(1782206.6,0)</f>
        <v>1782207</v>
      </c>
      <c r="R131" s="36">
        <f>ROUND(7476.4,0)</f>
        <v>7476</v>
      </c>
      <c r="S131" s="54">
        <f>ROUND(97077.8,0)</f>
        <v>97078</v>
      </c>
      <c r="T131" s="26"/>
      <c r="U131" s="26"/>
      <c r="V131" s="26"/>
      <c r="W131" s="37"/>
      <c r="X131" s="37"/>
      <c r="Y131" s="26"/>
      <c r="Z131" s="26"/>
      <c r="AA131" s="26"/>
      <c r="AB131" s="26"/>
      <c r="AC131" s="26"/>
    </row>
    <row r="132" spans="1:29">
      <c r="A132" s="34">
        <v>9812</v>
      </c>
      <c r="B132" s="35">
        <f t="shared" si="2"/>
        <v>2188692</v>
      </c>
      <c r="C132" s="48">
        <f t="shared" si="3"/>
        <v>14364833</v>
      </c>
      <c r="D132" s="36">
        <f>ROUND(250127.3,0)</f>
        <v>250127</v>
      </c>
      <c r="E132" s="48">
        <f>ROUND(1677523.8,0)</f>
        <v>1677524</v>
      </c>
      <c r="F132" s="36">
        <f>ROUND(608907.3,0)</f>
        <v>608907</v>
      </c>
      <c r="G132" s="48">
        <f>ROUND(4992170.1,0)</f>
        <v>4992170</v>
      </c>
      <c r="H132" s="36">
        <f>ROUND(787689.9,0)</f>
        <v>787690</v>
      </c>
      <c r="I132" s="48">
        <f>ROUND(2029203.6,0)</f>
        <v>2029204</v>
      </c>
      <c r="J132" s="36">
        <f>ROUND(222628.7,0)</f>
        <v>222629</v>
      </c>
      <c r="K132" s="48">
        <f>ROUND(1817790.2,0)</f>
        <v>1817790</v>
      </c>
      <c r="L132" s="36">
        <f>ROUND(204326.2,0)</f>
        <v>204326</v>
      </c>
      <c r="M132" s="48">
        <f>ROUND(1670630.8,0)</f>
        <v>1670631</v>
      </c>
      <c r="N132" s="36">
        <f>ROUND(63985,0)</f>
        <v>63985</v>
      </c>
      <c r="O132" s="48">
        <f>ROUND(247202,0)</f>
        <v>247202</v>
      </c>
      <c r="P132" s="36">
        <f>ROUND(37874,0)</f>
        <v>37874</v>
      </c>
      <c r="Q132" s="48">
        <f>ROUND(1820080.6,0)</f>
        <v>1820081</v>
      </c>
      <c r="R132" s="36">
        <f>ROUND(13153.5,0)</f>
        <v>13154</v>
      </c>
      <c r="S132" s="54">
        <f>ROUND(110231.3,0)</f>
        <v>110231</v>
      </c>
      <c r="T132" s="26"/>
      <c r="U132" s="26"/>
      <c r="V132" s="26"/>
      <c r="W132" s="37"/>
      <c r="X132" s="37"/>
      <c r="Y132" s="26"/>
      <c r="Z132" s="26"/>
      <c r="AA132" s="26"/>
      <c r="AB132" s="26"/>
      <c r="AC132" s="26"/>
    </row>
    <row r="133" spans="1:29" s="41" customFormat="1">
      <c r="A133" s="34">
        <v>9901</v>
      </c>
      <c r="B133" s="39">
        <f t="shared" si="2"/>
        <v>1061056.8</v>
      </c>
      <c r="C133" s="48">
        <f t="shared" si="3"/>
        <v>1061056.8</v>
      </c>
      <c r="D133" s="36">
        <v>70296.5</v>
      </c>
      <c r="E133" s="48">
        <v>70296.5</v>
      </c>
      <c r="F133" s="36">
        <v>263507.90000000002</v>
      </c>
      <c r="G133" s="48">
        <v>263507.90000000002</v>
      </c>
      <c r="H133" s="36">
        <v>13810.1</v>
      </c>
      <c r="I133" s="48">
        <v>13810.1</v>
      </c>
      <c r="J133" s="36">
        <v>99029.2</v>
      </c>
      <c r="K133" s="48">
        <v>99029.2</v>
      </c>
      <c r="L133" s="36">
        <v>114337.2</v>
      </c>
      <c r="M133" s="48">
        <v>114337.2</v>
      </c>
      <c r="N133" s="36">
        <v>3533.3</v>
      </c>
      <c r="O133" s="48">
        <v>3533.3</v>
      </c>
      <c r="P133" s="36">
        <v>489840.4</v>
      </c>
      <c r="Q133" s="48">
        <v>489840.4</v>
      </c>
      <c r="R133" s="36">
        <v>6702.2</v>
      </c>
      <c r="S133" s="54">
        <v>6702.2</v>
      </c>
      <c r="T133" s="40"/>
      <c r="U133" s="40"/>
      <c r="V133" s="40"/>
      <c r="W133" s="37"/>
      <c r="X133" s="37"/>
      <c r="Y133" s="40"/>
      <c r="Z133" s="40"/>
      <c r="AA133" s="40"/>
      <c r="AB133" s="40"/>
      <c r="AC133" s="40"/>
    </row>
    <row r="134" spans="1:29" s="41" customFormat="1">
      <c r="A134" s="34">
        <v>9902</v>
      </c>
      <c r="B134" s="39">
        <f t="shared" si="2"/>
        <v>1518126</v>
      </c>
      <c r="C134" s="48">
        <f t="shared" si="3"/>
        <v>2579182</v>
      </c>
      <c r="D134" s="36">
        <f>ROUND(225513.2,0)</f>
        <v>225513</v>
      </c>
      <c r="E134" s="48">
        <f>ROUND(295809.7,0)</f>
        <v>295810</v>
      </c>
      <c r="F134" s="36">
        <f>ROUND(629836.7,0)</f>
        <v>629837</v>
      </c>
      <c r="G134" s="48">
        <f>ROUND(893344.7,0)</f>
        <v>893345</v>
      </c>
      <c r="H134" s="36">
        <f>ROUND(48694.8,0)</f>
        <v>48695</v>
      </c>
      <c r="I134" s="48">
        <f>ROUND(62504.8,0)</f>
        <v>62505</v>
      </c>
      <c r="J134" s="36">
        <f>ROUND(325087.7,0)</f>
        <v>325088</v>
      </c>
      <c r="K134" s="48">
        <f>ROUND(424117,0)</f>
        <v>424117</v>
      </c>
      <c r="L134" s="36">
        <f>ROUND(133088.9,0)</f>
        <v>133089</v>
      </c>
      <c r="M134" s="48">
        <f>ROUND(247426.1,0)</f>
        <v>247426</v>
      </c>
      <c r="N134" s="36">
        <f>ROUND(10251.1,0)</f>
        <v>10251</v>
      </c>
      <c r="O134" s="48">
        <f>ROUND(13784.4,0)</f>
        <v>13784</v>
      </c>
      <c r="P134" s="36">
        <f>ROUND(138085.9,0)</f>
        <v>138086</v>
      </c>
      <c r="Q134" s="48">
        <f>ROUND(627926.3,0)</f>
        <v>627926</v>
      </c>
      <c r="R134" s="36">
        <f>ROUND(7566.9,0)</f>
        <v>7567</v>
      </c>
      <c r="S134" s="54">
        <f>ROUND(14269.1,0)</f>
        <v>14269</v>
      </c>
      <c r="T134" s="40"/>
      <c r="U134" s="40"/>
      <c r="V134" s="40"/>
      <c r="W134" s="37"/>
      <c r="X134" s="37"/>
      <c r="Y134" s="40"/>
      <c r="Z134" s="40"/>
      <c r="AA134" s="40"/>
      <c r="AB134" s="40"/>
      <c r="AC134" s="40"/>
    </row>
    <row r="135" spans="1:29" s="41" customFormat="1">
      <c r="A135" s="34">
        <v>9903</v>
      </c>
      <c r="B135" s="39">
        <f t="shared" si="2"/>
        <v>808153</v>
      </c>
      <c r="C135" s="48">
        <f t="shared" si="3"/>
        <v>3387333</v>
      </c>
      <c r="D135" s="36">
        <v>124727</v>
      </c>
      <c r="E135" s="48">
        <v>420536</v>
      </c>
      <c r="F135" s="36">
        <v>341377</v>
      </c>
      <c r="G135" s="48">
        <v>1234722</v>
      </c>
      <c r="H135" s="36">
        <v>26367</v>
      </c>
      <c r="I135" s="48">
        <v>88872</v>
      </c>
      <c r="J135" s="36">
        <v>140893</v>
      </c>
      <c r="K135" s="48">
        <v>565009</v>
      </c>
      <c r="L135" s="36">
        <v>108634</v>
      </c>
      <c r="M135" s="48">
        <v>356060</v>
      </c>
      <c r="N135" s="36">
        <v>19675</v>
      </c>
      <c r="O135" s="48">
        <v>33459</v>
      </c>
      <c r="P135" s="36">
        <v>34664</v>
      </c>
      <c r="Q135" s="48">
        <v>662590</v>
      </c>
      <c r="R135" s="36">
        <v>11816</v>
      </c>
      <c r="S135" s="54">
        <v>26085</v>
      </c>
      <c r="T135" s="40"/>
      <c r="U135" s="40"/>
      <c r="V135" s="40"/>
      <c r="W135" s="37"/>
      <c r="X135" s="37"/>
      <c r="Y135" s="40"/>
      <c r="Z135" s="40"/>
      <c r="AA135" s="40"/>
      <c r="AB135" s="40"/>
      <c r="AC135" s="40"/>
    </row>
    <row r="136" spans="1:29" s="41" customFormat="1">
      <c r="A136" s="34">
        <v>9904</v>
      </c>
      <c r="B136" s="36">
        <f t="shared" si="2"/>
        <v>883018.99999999988</v>
      </c>
      <c r="C136" s="48">
        <f t="shared" si="3"/>
        <v>4270352.5</v>
      </c>
      <c r="D136" s="36">
        <v>110836.1</v>
      </c>
      <c r="E136" s="48">
        <v>531372.4</v>
      </c>
      <c r="F136" s="36">
        <v>424519.1</v>
      </c>
      <c r="G136" s="48">
        <v>1659241</v>
      </c>
      <c r="H136" s="36">
        <v>67935.100000000006</v>
      </c>
      <c r="I136" s="48">
        <v>156806.70000000001</v>
      </c>
      <c r="J136" s="36">
        <v>121281.1</v>
      </c>
      <c r="K136" s="48">
        <v>686290.9</v>
      </c>
      <c r="L136" s="36">
        <v>112486.2</v>
      </c>
      <c r="M136" s="48">
        <v>468545.9</v>
      </c>
      <c r="N136" s="36">
        <v>18848.599999999999</v>
      </c>
      <c r="O136" s="48">
        <v>52307.7</v>
      </c>
      <c r="P136" s="36">
        <v>19587.8</v>
      </c>
      <c r="Q136" s="48">
        <v>682178.1</v>
      </c>
      <c r="R136" s="36">
        <v>7525</v>
      </c>
      <c r="S136" s="54">
        <v>33609.800000000003</v>
      </c>
      <c r="T136" s="40"/>
      <c r="U136" s="40"/>
      <c r="V136" s="40"/>
      <c r="W136" s="37"/>
      <c r="X136" s="37"/>
      <c r="Y136" s="40"/>
      <c r="Z136" s="40"/>
      <c r="AA136" s="40"/>
      <c r="AB136" s="40"/>
      <c r="AC136" s="40"/>
    </row>
    <row r="137" spans="1:29" s="41" customFormat="1">
      <c r="A137" s="34">
        <v>9905</v>
      </c>
      <c r="B137" s="36">
        <f t="shared" si="2"/>
        <v>1287382.2</v>
      </c>
      <c r="C137" s="48">
        <f t="shared" si="3"/>
        <v>5557734.5</v>
      </c>
      <c r="D137" s="36">
        <v>110094.8</v>
      </c>
      <c r="E137" s="48">
        <v>641467.19999999995</v>
      </c>
      <c r="F137" s="36">
        <v>370665.9</v>
      </c>
      <c r="G137" s="48">
        <v>2029906.9</v>
      </c>
      <c r="H137" s="36">
        <v>51775.8</v>
      </c>
      <c r="I137" s="48">
        <v>208582.5</v>
      </c>
      <c r="J137" s="36">
        <v>128338.5</v>
      </c>
      <c r="K137" s="48">
        <v>814629.3</v>
      </c>
      <c r="L137" s="36">
        <v>136613.6</v>
      </c>
      <c r="M137" s="48">
        <v>605159.5</v>
      </c>
      <c r="N137" s="36">
        <v>25197.5</v>
      </c>
      <c r="O137" s="48">
        <v>77505.2</v>
      </c>
      <c r="P137" s="36">
        <v>456147.3</v>
      </c>
      <c r="Q137" s="48">
        <v>1138325.3999999999</v>
      </c>
      <c r="R137" s="36">
        <v>8548.7999999999993</v>
      </c>
      <c r="S137" s="54">
        <v>42158.5</v>
      </c>
      <c r="T137" s="40"/>
      <c r="U137" s="40"/>
      <c r="V137" s="40"/>
      <c r="W137" s="37"/>
      <c r="X137" s="37"/>
      <c r="Y137" s="40"/>
      <c r="Z137" s="40"/>
      <c r="AA137" s="40"/>
      <c r="AB137" s="40"/>
      <c r="AC137" s="40"/>
    </row>
    <row r="138" spans="1:29" s="41" customFormat="1">
      <c r="A138" s="34">
        <v>9906</v>
      </c>
      <c r="B138" s="36">
        <v>1087014</v>
      </c>
      <c r="C138" s="48">
        <f>SUM(E138,G138,I138,K138,M138,O138,Q138,S138,U138)</f>
        <v>6644748.5000000009</v>
      </c>
      <c r="D138" s="36">
        <v>159764.70000000001</v>
      </c>
      <c r="E138" s="48">
        <v>801231.9</v>
      </c>
      <c r="F138" s="36">
        <v>415581.8</v>
      </c>
      <c r="G138" s="48">
        <v>2445488.7000000002</v>
      </c>
      <c r="H138" s="36">
        <v>101660.2</v>
      </c>
      <c r="I138" s="48">
        <v>310242.59999999998</v>
      </c>
      <c r="J138" s="36">
        <v>139567.70000000001</v>
      </c>
      <c r="K138" s="48">
        <v>954197</v>
      </c>
      <c r="L138" s="36">
        <v>112707.9</v>
      </c>
      <c r="M138" s="48">
        <v>717867.4</v>
      </c>
      <c r="N138" s="36">
        <v>9279.2999999999993</v>
      </c>
      <c r="O138" s="48">
        <v>86784.5</v>
      </c>
      <c r="P138" s="36">
        <v>141377.79999999999</v>
      </c>
      <c r="Q138" s="48">
        <v>1279703</v>
      </c>
      <c r="R138" s="36">
        <v>7074.9</v>
      </c>
      <c r="S138" s="54">
        <v>49233.4</v>
      </c>
      <c r="T138" s="40"/>
      <c r="U138" s="40"/>
      <c r="V138" s="40"/>
      <c r="W138" s="37"/>
      <c r="X138" s="37"/>
      <c r="Y138" s="40"/>
      <c r="Z138" s="40"/>
      <c r="AA138" s="40"/>
      <c r="AB138" s="40"/>
      <c r="AC138" s="40"/>
    </row>
    <row r="139" spans="1:29" s="41" customFormat="1">
      <c r="A139" s="34">
        <v>9907</v>
      </c>
      <c r="B139" s="36">
        <v>1204656</v>
      </c>
      <c r="C139" s="48">
        <f>SUM(E139,G139,I139,K139,M139,O139,Q139,S139,U139)</f>
        <v>7939404.5999999996</v>
      </c>
      <c r="D139" s="36">
        <v>109915</v>
      </c>
      <c r="E139" s="48">
        <v>911146.9</v>
      </c>
      <c r="F139" s="36">
        <v>281038.09999999998</v>
      </c>
      <c r="G139" s="48">
        <v>2726526.8</v>
      </c>
      <c r="H139" s="36">
        <v>88040.4</v>
      </c>
      <c r="I139" s="48">
        <v>398283</v>
      </c>
      <c r="J139" s="36">
        <v>125044.8</v>
      </c>
      <c r="K139" s="48">
        <v>1079241.8</v>
      </c>
      <c r="L139" s="36">
        <v>146132.9</v>
      </c>
      <c r="M139" s="48">
        <v>864000.3</v>
      </c>
      <c r="N139" s="36">
        <v>11537.7</v>
      </c>
      <c r="O139" s="48">
        <v>98322.2</v>
      </c>
      <c r="P139" s="36">
        <v>524932.4</v>
      </c>
      <c r="Q139" s="48">
        <v>1804635.5</v>
      </c>
      <c r="R139" s="36">
        <v>8014.7</v>
      </c>
      <c r="S139" s="54">
        <v>57248.1</v>
      </c>
      <c r="T139" s="40"/>
      <c r="U139" s="40"/>
      <c r="V139" s="40"/>
      <c r="W139" s="37"/>
      <c r="X139" s="37"/>
      <c r="Y139" s="40"/>
      <c r="Z139" s="40"/>
      <c r="AA139" s="40"/>
      <c r="AB139" s="40"/>
      <c r="AC139" s="40"/>
    </row>
    <row r="140" spans="1:29" s="43" customFormat="1">
      <c r="A140" s="34">
        <v>9908</v>
      </c>
      <c r="B140" s="36">
        <f t="shared" ref="B140:B153" si="4">D140+F140+H140+J140+L140+N140+P140+R140</f>
        <v>782647.6</v>
      </c>
      <c r="C140" s="48">
        <f t="shared" ref="C140:C153" si="5">E140+G140+I140+K140+M140+O140+Q140+S140</f>
        <v>8722052.1999999993</v>
      </c>
      <c r="D140" s="36">
        <v>110991.8</v>
      </c>
      <c r="E140" s="48">
        <v>1022138.7</v>
      </c>
      <c r="F140" s="36">
        <v>270135.8</v>
      </c>
      <c r="G140" s="48">
        <v>2996662.6</v>
      </c>
      <c r="H140" s="36">
        <v>83346.899999999994</v>
      </c>
      <c r="I140" s="48">
        <v>481629.9</v>
      </c>
      <c r="J140" s="36">
        <v>125005.1</v>
      </c>
      <c r="K140" s="48">
        <v>1204247</v>
      </c>
      <c r="L140" s="39">
        <v>122730.8</v>
      </c>
      <c r="M140" s="48">
        <v>986731.1</v>
      </c>
      <c r="N140" s="39">
        <v>18414.099999999999</v>
      </c>
      <c r="O140" s="48">
        <v>116736.3</v>
      </c>
      <c r="P140" s="39">
        <v>43678.2</v>
      </c>
      <c r="Q140" s="48">
        <v>1848313.7</v>
      </c>
      <c r="R140" s="39">
        <v>8344.9</v>
      </c>
      <c r="S140" s="54">
        <v>65592.899999999994</v>
      </c>
      <c r="T140" s="42"/>
      <c r="U140" s="42"/>
      <c r="V140" s="42"/>
      <c r="W140" s="37"/>
      <c r="X140" s="37"/>
      <c r="Y140" s="42"/>
      <c r="Z140" s="42"/>
      <c r="AA140" s="42"/>
      <c r="AB140" s="42"/>
      <c r="AC140" s="42"/>
    </row>
    <row r="141" spans="1:29" s="41" customFormat="1">
      <c r="A141" s="34">
        <v>9909</v>
      </c>
      <c r="B141" s="36">
        <f t="shared" si="4"/>
        <v>1212374.8999999999</v>
      </c>
      <c r="C141" s="48">
        <f t="shared" si="5"/>
        <v>9934427.0999999996</v>
      </c>
      <c r="D141" s="36">
        <v>119705.2</v>
      </c>
      <c r="E141" s="48">
        <v>1141843.8999999999</v>
      </c>
      <c r="F141" s="36">
        <v>666527</v>
      </c>
      <c r="G141" s="48">
        <v>3663189.6</v>
      </c>
      <c r="H141" s="36">
        <v>114275.3</v>
      </c>
      <c r="I141" s="48">
        <v>595905.19999999995</v>
      </c>
      <c r="J141" s="36">
        <v>132504.70000000001</v>
      </c>
      <c r="K141" s="48">
        <v>1336751.7</v>
      </c>
      <c r="L141" s="39">
        <v>128210.1</v>
      </c>
      <c r="M141" s="48">
        <v>1114941.2</v>
      </c>
      <c r="N141" s="39">
        <v>12079.9</v>
      </c>
      <c r="O141" s="48">
        <v>128816.2</v>
      </c>
      <c r="P141" s="39">
        <v>26034.9</v>
      </c>
      <c r="Q141" s="48">
        <v>1874348.6</v>
      </c>
      <c r="R141" s="39">
        <v>13037.8</v>
      </c>
      <c r="S141" s="54">
        <v>78630.7</v>
      </c>
      <c r="T141" s="40"/>
      <c r="U141" s="40"/>
      <c r="V141" s="40"/>
      <c r="W141" s="37"/>
      <c r="X141" s="37"/>
      <c r="Y141" s="40"/>
      <c r="Z141" s="40"/>
      <c r="AA141" s="40"/>
      <c r="AB141" s="40"/>
      <c r="AC141" s="40"/>
    </row>
    <row r="142" spans="1:29" s="41" customFormat="1">
      <c r="A142" s="34">
        <v>9910</v>
      </c>
      <c r="B142" s="36">
        <f t="shared" si="4"/>
        <v>1086666</v>
      </c>
      <c r="C142" s="48">
        <f t="shared" si="5"/>
        <v>11021092.399999999</v>
      </c>
      <c r="D142" s="36">
        <f>ROUND(136582.1,0)</f>
        <v>136582</v>
      </c>
      <c r="E142" s="48">
        <f>E141+D142</f>
        <v>1278425.8999999999</v>
      </c>
      <c r="F142" s="36">
        <f>ROUND(359463.1,0)</f>
        <v>359463</v>
      </c>
      <c r="G142" s="48">
        <f>G141+F142</f>
        <v>4022652.6</v>
      </c>
      <c r="H142" s="36">
        <f>ROUND(227073.8,0)</f>
        <v>227074</v>
      </c>
      <c r="I142" s="48">
        <f>I141+H142</f>
        <v>822979.2</v>
      </c>
      <c r="J142" s="36">
        <f>ROUND(123469.5,0)</f>
        <v>123470</v>
      </c>
      <c r="K142" s="48">
        <f>ROUND(1460221.2,0)</f>
        <v>1460221</v>
      </c>
      <c r="L142" s="36">
        <f>ROUND(173705.2,0)</f>
        <v>173705</v>
      </c>
      <c r="M142" s="48">
        <f>M141+L142</f>
        <v>1288646.2</v>
      </c>
      <c r="N142" s="36">
        <f>ROUND(27190.7,0)</f>
        <v>27191</v>
      </c>
      <c r="O142" s="48">
        <f>O141+N142</f>
        <v>156007.20000000001</v>
      </c>
      <c r="P142" s="36">
        <f>ROUND(29698.1,0)</f>
        <v>29698</v>
      </c>
      <c r="Q142" s="48">
        <f>Q141+P142</f>
        <v>1904046.6</v>
      </c>
      <c r="R142" s="36">
        <f>ROUND(9482.5,0)</f>
        <v>9483</v>
      </c>
      <c r="S142" s="54">
        <f>S141+R142</f>
        <v>88113.7</v>
      </c>
      <c r="T142" s="40"/>
      <c r="U142" s="40"/>
      <c r="V142" s="40"/>
      <c r="W142" s="37"/>
      <c r="X142" s="37"/>
      <c r="Y142" s="40"/>
      <c r="Z142" s="40"/>
      <c r="AA142" s="40"/>
      <c r="AB142" s="40"/>
      <c r="AC142" s="40"/>
    </row>
    <row r="143" spans="1:29" s="41" customFormat="1">
      <c r="A143" s="34">
        <v>9911</v>
      </c>
      <c r="B143" s="36">
        <f t="shared" si="4"/>
        <v>993212.4</v>
      </c>
      <c r="C143" s="48">
        <f t="shared" si="5"/>
        <v>12014304.1</v>
      </c>
      <c r="D143" s="36">
        <v>152861</v>
      </c>
      <c r="E143" s="48">
        <f>E142+D143</f>
        <v>1431286.9</v>
      </c>
      <c r="F143" s="36">
        <v>382896</v>
      </c>
      <c r="G143" s="48">
        <f>G142+F143</f>
        <v>4405548.5999999996</v>
      </c>
      <c r="H143" s="36">
        <v>106599</v>
      </c>
      <c r="I143" s="48">
        <f>I142+H143</f>
        <v>929578.2</v>
      </c>
      <c r="J143" s="36">
        <v>133056</v>
      </c>
      <c r="K143" s="48">
        <f>K142+J143</f>
        <v>1593277</v>
      </c>
      <c r="L143" s="36">
        <v>190413</v>
      </c>
      <c r="M143" s="48">
        <f>M142+L143</f>
        <v>1479059.2</v>
      </c>
      <c r="N143" s="36">
        <v>9267</v>
      </c>
      <c r="O143" s="48">
        <f>O142+N143</f>
        <v>165274.20000000001</v>
      </c>
      <c r="P143" s="36">
        <v>8349.4</v>
      </c>
      <c r="Q143" s="48">
        <f>Q142+P143</f>
        <v>1912396</v>
      </c>
      <c r="R143" s="36">
        <v>9771</v>
      </c>
      <c r="S143" s="54">
        <v>97884</v>
      </c>
      <c r="T143" s="40"/>
      <c r="U143" s="40"/>
      <c r="V143" s="40"/>
      <c r="W143" s="37"/>
      <c r="X143" s="37"/>
      <c r="Y143" s="40"/>
      <c r="Z143" s="40"/>
      <c r="AA143" s="40"/>
      <c r="AB143" s="40"/>
      <c r="AC143" s="40"/>
    </row>
    <row r="144" spans="1:29" s="41" customFormat="1">
      <c r="A144" s="34">
        <v>9912</v>
      </c>
      <c r="B144" s="36">
        <f t="shared" si="4"/>
        <v>1999540</v>
      </c>
      <c r="C144" s="48">
        <f t="shared" si="5"/>
        <v>14013844.099999998</v>
      </c>
      <c r="D144" s="36">
        <v>278700</v>
      </c>
      <c r="E144" s="48">
        <f>E143+D144</f>
        <v>1709986.9</v>
      </c>
      <c r="F144" s="36">
        <v>562358</v>
      </c>
      <c r="G144" s="48">
        <f>G143+F144</f>
        <v>4967906.5999999996</v>
      </c>
      <c r="H144" s="36">
        <v>545026</v>
      </c>
      <c r="I144" s="48">
        <f>I143+H144</f>
        <v>1474604.2</v>
      </c>
      <c r="J144" s="36">
        <v>237276</v>
      </c>
      <c r="K144" s="48">
        <f>K143+J144</f>
        <v>1830553</v>
      </c>
      <c r="L144" s="36">
        <v>260531</v>
      </c>
      <c r="M144" s="48">
        <f>M143+L144</f>
        <v>1739590.2</v>
      </c>
      <c r="N144" s="36">
        <v>55107</v>
      </c>
      <c r="O144" s="48">
        <f>O143+N144</f>
        <v>220381.2</v>
      </c>
      <c r="P144" s="36">
        <v>46467</v>
      </c>
      <c r="Q144" s="48">
        <f>Q143+P144</f>
        <v>1958863</v>
      </c>
      <c r="R144" s="36">
        <v>14075</v>
      </c>
      <c r="S144" s="54">
        <f>S143+R144</f>
        <v>111959</v>
      </c>
      <c r="T144" s="40"/>
      <c r="U144" s="40"/>
      <c r="V144" s="40"/>
      <c r="W144" s="37"/>
      <c r="X144" s="37"/>
      <c r="Y144" s="40"/>
      <c r="Z144" s="40"/>
      <c r="AA144" s="40"/>
      <c r="AB144" s="40"/>
      <c r="AC144" s="40"/>
    </row>
    <row r="145" spans="1:29" s="41" customFormat="1" ht="17.25" customHeight="1">
      <c r="A145" s="34">
        <v>10001</v>
      </c>
      <c r="B145" s="36">
        <f t="shared" si="4"/>
        <v>2143087.1</v>
      </c>
      <c r="C145" s="48">
        <f t="shared" si="5"/>
        <v>2143087.1</v>
      </c>
      <c r="D145" s="36">
        <v>232880.1</v>
      </c>
      <c r="E145" s="48">
        <v>232880.1</v>
      </c>
      <c r="F145" s="36">
        <v>610523.80000000005</v>
      </c>
      <c r="G145" s="48">
        <v>610523.80000000005</v>
      </c>
      <c r="H145" s="36">
        <v>146676.1</v>
      </c>
      <c r="I145" s="48">
        <v>146676.1</v>
      </c>
      <c r="J145" s="36">
        <v>321126.59999999998</v>
      </c>
      <c r="K145" s="48">
        <v>321126.59999999998</v>
      </c>
      <c r="L145" s="36">
        <v>165968.9</v>
      </c>
      <c r="M145" s="48">
        <v>165968.9</v>
      </c>
      <c r="N145" s="36">
        <v>8941.2999999999993</v>
      </c>
      <c r="O145" s="48">
        <v>8941.2999999999993</v>
      </c>
      <c r="P145" s="36">
        <f>644439.3+1933.9</f>
        <v>646373.20000000007</v>
      </c>
      <c r="Q145" s="48">
        <f>644439.3+1933.9</f>
        <v>646373.20000000007</v>
      </c>
      <c r="R145" s="36">
        <v>10597.1</v>
      </c>
      <c r="S145" s="54">
        <v>10597.1</v>
      </c>
      <c r="T145" s="40"/>
      <c r="U145" s="40"/>
      <c r="V145" s="40"/>
      <c r="W145" s="37"/>
      <c r="X145" s="37"/>
      <c r="Y145" s="40"/>
      <c r="Z145" s="40"/>
      <c r="AA145" s="40"/>
      <c r="AB145" s="40"/>
      <c r="AC145" s="40"/>
    </row>
    <row r="146" spans="1:29" s="41" customFormat="1">
      <c r="A146" s="33">
        <v>10002</v>
      </c>
      <c r="B146" s="36">
        <f t="shared" si="4"/>
        <v>597057.70000000007</v>
      </c>
      <c r="C146" s="48">
        <f t="shared" si="5"/>
        <v>2740144.8000000003</v>
      </c>
      <c r="D146" s="36">
        <v>89927.1</v>
      </c>
      <c r="E146" s="48">
        <f>E145+D146</f>
        <v>322807.2</v>
      </c>
      <c r="F146" s="36">
        <v>289521.7</v>
      </c>
      <c r="G146" s="48">
        <f>G145+F146</f>
        <v>900045.5</v>
      </c>
      <c r="H146" s="36">
        <v>-8866.2999999999993</v>
      </c>
      <c r="I146" s="48">
        <f>I145+H146</f>
        <v>137809.80000000002</v>
      </c>
      <c r="J146" s="36">
        <v>115727.3</v>
      </c>
      <c r="K146" s="48">
        <f>K145+J146</f>
        <v>436853.89999999997</v>
      </c>
      <c r="L146" s="36">
        <v>84046.6</v>
      </c>
      <c r="M146" s="48">
        <f>M145+L146</f>
        <v>250015.5</v>
      </c>
      <c r="N146" s="36">
        <v>4576.8</v>
      </c>
      <c r="O146" s="48">
        <f>O145+N146</f>
        <v>13518.099999999999</v>
      </c>
      <c r="P146" s="36">
        <f>13115.1+1673.8</f>
        <v>14788.9</v>
      </c>
      <c r="Q146" s="48">
        <f>Q145+P146</f>
        <v>661162.10000000009</v>
      </c>
      <c r="R146" s="36">
        <v>7335.6</v>
      </c>
      <c r="S146" s="54">
        <f>S145+R146</f>
        <v>17932.7</v>
      </c>
      <c r="T146" s="40"/>
      <c r="U146" s="40"/>
      <c r="V146" s="40"/>
      <c r="W146" s="37"/>
      <c r="X146" s="37"/>
      <c r="Y146" s="40"/>
      <c r="Z146" s="40"/>
      <c r="AA146" s="40"/>
      <c r="AB146" s="40"/>
      <c r="AC146" s="40"/>
    </row>
    <row r="147" spans="1:29" s="41" customFormat="1">
      <c r="A147" s="33">
        <v>10003</v>
      </c>
      <c r="B147" s="36">
        <f t="shared" si="4"/>
        <v>828575.69999999984</v>
      </c>
      <c r="C147" s="48">
        <f t="shared" si="5"/>
        <v>3568720.4999999995</v>
      </c>
      <c r="D147" s="36">
        <v>118888.3</v>
      </c>
      <c r="E147" s="48">
        <v>441695.5</v>
      </c>
      <c r="F147" s="36">
        <v>360141.3</v>
      </c>
      <c r="G147" s="48">
        <v>1260186.8</v>
      </c>
      <c r="H147" s="36">
        <v>32728.6</v>
      </c>
      <c r="I147" s="48">
        <v>170538.4</v>
      </c>
      <c r="J147" s="36">
        <v>123546.4</v>
      </c>
      <c r="K147" s="48">
        <v>560400.30000000005</v>
      </c>
      <c r="L147" s="36">
        <v>126428.4</v>
      </c>
      <c r="M147" s="48">
        <v>376443.9</v>
      </c>
      <c r="N147" s="36">
        <v>6812.2</v>
      </c>
      <c r="O147" s="48">
        <v>20330.3</v>
      </c>
      <c r="P147" s="36">
        <v>50241.899999999907</v>
      </c>
      <c r="Q147" s="48">
        <v>711404</v>
      </c>
      <c r="R147" s="36">
        <v>9788.6</v>
      </c>
      <c r="S147" s="54">
        <v>27721.3</v>
      </c>
      <c r="T147" s="40"/>
      <c r="U147" s="40"/>
      <c r="V147" s="40"/>
      <c r="W147" s="37"/>
      <c r="X147" s="37"/>
      <c r="Y147" s="40"/>
      <c r="Z147" s="40"/>
      <c r="AA147" s="40"/>
      <c r="AB147" s="40"/>
      <c r="AC147" s="40"/>
    </row>
    <row r="148" spans="1:29" s="41" customFormat="1">
      <c r="A148" s="33">
        <v>10004</v>
      </c>
      <c r="B148" s="36">
        <f t="shared" si="4"/>
        <v>930726.99999999988</v>
      </c>
      <c r="C148" s="48">
        <f t="shared" si="5"/>
        <v>4499447.5</v>
      </c>
      <c r="D148" s="36">
        <v>110560.5</v>
      </c>
      <c r="E148" s="48">
        <v>552256</v>
      </c>
      <c r="F148" s="36">
        <v>477727.1</v>
      </c>
      <c r="G148" s="48">
        <v>1737913.9</v>
      </c>
      <c r="H148" s="36">
        <v>79258.600000000006</v>
      </c>
      <c r="I148" s="48">
        <v>249797</v>
      </c>
      <c r="J148" s="36">
        <v>124440.6</v>
      </c>
      <c r="K148" s="48">
        <v>684840.9</v>
      </c>
      <c r="L148" s="36">
        <v>113505.7</v>
      </c>
      <c r="M148" s="48">
        <v>489949.6</v>
      </c>
      <c r="N148" s="36">
        <v>4992.8999999999996</v>
      </c>
      <c r="O148" s="48">
        <v>25323.200000000001</v>
      </c>
      <c r="P148" s="36">
        <v>10109</v>
      </c>
      <c r="Q148" s="48">
        <v>721513</v>
      </c>
      <c r="R148" s="36">
        <v>10132.6</v>
      </c>
      <c r="S148" s="54">
        <v>37853.9</v>
      </c>
      <c r="T148" s="40"/>
      <c r="U148" s="40"/>
      <c r="V148" s="40"/>
      <c r="W148" s="37"/>
      <c r="X148" s="37"/>
      <c r="Y148" s="40"/>
      <c r="Z148" s="40"/>
      <c r="AA148" s="40"/>
      <c r="AB148" s="40"/>
      <c r="AC148" s="40"/>
    </row>
    <row r="149" spans="1:29" s="41" customFormat="1" ht="19.5" customHeight="1">
      <c r="A149" s="33">
        <v>10005</v>
      </c>
      <c r="B149" s="36">
        <f t="shared" si="4"/>
        <v>1438293.9</v>
      </c>
      <c r="C149" s="48">
        <f t="shared" si="5"/>
        <v>5937741.4000000004</v>
      </c>
      <c r="D149" s="36">
        <v>112171</v>
      </c>
      <c r="E149" s="48">
        <f>E148+D149</f>
        <v>664427</v>
      </c>
      <c r="F149" s="36">
        <v>347347.20000000001</v>
      </c>
      <c r="G149" s="48">
        <f>G148+F149</f>
        <v>2085261.0999999999</v>
      </c>
      <c r="H149" s="36">
        <v>84870.8</v>
      </c>
      <c r="I149" s="48">
        <f>I148+H149</f>
        <v>334667.8</v>
      </c>
      <c r="J149" s="36">
        <v>130155.5</v>
      </c>
      <c r="K149" s="48">
        <f>K148+J149</f>
        <v>814996.4</v>
      </c>
      <c r="L149" s="36">
        <f>148361.2</f>
        <v>148361.20000000001</v>
      </c>
      <c r="M149" s="48">
        <f>M148+L149</f>
        <v>638310.80000000005</v>
      </c>
      <c r="N149" s="36">
        <v>5624.3</v>
      </c>
      <c r="O149" s="48">
        <f>O148+N149</f>
        <v>30947.5</v>
      </c>
      <c r="P149" s="36">
        <f>595559.3+3493.6</f>
        <v>599052.9</v>
      </c>
      <c r="Q149" s="48">
        <f>Q148+P149</f>
        <v>1320565.8999999999</v>
      </c>
      <c r="R149" s="36">
        <v>10711</v>
      </c>
      <c r="S149" s="54">
        <f>S148+R149</f>
        <v>48564.9</v>
      </c>
      <c r="T149" s="40"/>
      <c r="U149" s="40"/>
      <c r="V149" s="40"/>
      <c r="W149" s="37"/>
      <c r="X149" s="37"/>
      <c r="Y149" s="40"/>
      <c r="Z149" s="40"/>
      <c r="AA149" s="40"/>
      <c r="AB149" s="40"/>
      <c r="AC149" s="40"/>
    </row>
    <row r="150" spans="1:29" s="41" customFormat="1">
      <c r="A150" s="33">
        <v>10006</v>
      </c>
      <c r="B150" s="36">
        <f t="shared" si="4"/>
        <v>967919.10000000009</v>
      </c>
      <c r="C150" s="48">
        <f t="shared" si="5"/>
        <v>6905660.5</v>
      </c>
      <c r="D150" s="36">
        <v>173138.9</v>
      </c>
      <c r="E150" s="48">
        <f>E149+D150</f>
        <v>837565.9</v>
      </c>
      <c r="F150" s="36">
        <v>389076.8</v>
      </c>
      <c r="G150" s="48">
        <f>G149+F150</f>
        <v>2474337.9</v>
      </c>
      <c r="H150" s="36">
        <v>74864.800000000003</v>
      </c>
      <c r="I150" s="48">
        <f>I149+H150</f>
        <v>409532.6</v>
      </c>
      <c r="J150" s="36">
        <v>124176.4</v>
      </c>
      <c r="K150" s="48">
        <f>K149+J150</f>
        <v>939172.8</v>
      </c>
      <c r="L150" s="36">
        <v>171234.2</v>
      </c>
      <c r="M150" s="48">
        <f>M149+L150</f>
        <v>809545</v>
      </c>
      <c r="N150" s="36">
        <v>14983</v>
      </c>
      <c r="O150" s="48">
        <f>O149+N150</f>
        <v>45930.5</v>
      </c>
      <c r="P150" s="36">
        <v>9820.7999999999993</v>
      </c>
      <c r="Q150" s="48">
        <f>Q149+P150</f>
        <v>1330386.7</v>
      </c>
      <c r="R150" s="36">
        <v>10624.2</v>
      </c>
      <c r="S150" s="54">
        <f>S149+R150</f>
        <v>59189.100000000006</v>
      </c>
      <c r="T150" s="40"/>
      <c r="U150" s="40"/>
      <c r="V150" s="40"/>
      <c r="W150" s="37"/>
      <c r="X150" s="37"/>
      <c r="Y150" s="40"/>
      <c r="Z150" s="40"/>
      <c r="AA150" s="40"/>
      <c r="AB150" s="40"/>
      <c r="AC150" s="40"/>
    </row>
    <row r="151" spans="1:29" s="41" customFormat="1" ht="19.5" customHeight="1">
      <c r="A151" s="33">
        <v>10007</v>
      </c>
      <c r="B151" s="36">
        <f t="shared" si="4"/>
        <v>1306673.8999999999</v>
      </c>
      <c r="C151" s="48">
        <f t="shared" si="5"/>
        <v>8212334.3999999994</v>
      </c>
      <c r="D151" s="36">
        <v>117520.8</v>
      </c>
      <c r="E151" s="48">
        <f>E150+D151</f>
        <v>955086.70000000007</v>
      </c>
      <c r="F151" s="36">
        <v>313949.2</v>
      </c>
      <c r="G151" s="48">
        <f>G150+F151</f>
        <v>2788287.1</v>
      </c>
      <c r="H151" s="36">
        <v>61838.6</v>
      </c>
      <c r="I151" s="48">
        <f>I150+H151</f>
        <v>471371.19999999995</v>
      </c>
      <c r="J151" s="36">
        <v>120591.9</v>
      </c>
      <c r="K151" s="48">
        <f>K150+J151</f>
        <v>1059764.7</v>
      </c>
      <c r="L151" s="36">
        <v>108755.1</v>
      </c>
      <c r="M151" s="48">
        <f>M150+L151</f>
        <v>918300.1</v>
      </c>
      <c r="N151" s="36">
        <v>10881.1</v>
      </c>
      <c r="O151" s="48">
        <f>O150+N151</f>
        <v>56811.6</v>
      </c>
      <c r="P151" s="36">
        <f>559419.7+2575.2</f>
        <v>561994.89999999991</v>
      </c>
      <c r="Q151" s="48">
        <f>Q150+P151</f>
        <v>1892381.5999999999</v>
      </c>
      <c r="R151" s="36">
        <v>11142.3</v>
      </c>
      <c r="S151" s="54">
        <f>S150+R151</f>
        <v>70331.400000000009</v>
      </c>
      <c r="T151" s="40"/>
      <c r="U151" s="40"/>
      <c r="V151" s="40"/>
      <c r="W151" s="37"/>
      <c r="X151" s="37"/>
      <c r="Y151" s="40"/>
      <c r="Z151" s="40"/>
      <c r="AA151" s="40"/>
      <c r="AB151" s="40"/>
      <c r="AC151" s="40"/>
    </row>
    <row r="152" spans="1:29" s="41" customFormat="1" ht="19.5" customHeight="1">
      <c r="A152" s="33">
        <v>10008</v>
      </c>
      <c r="B152" s="36">
        <f t="shared" si="4"/>
        <v>839721.5</v>
      </c>
      <c r="C152" s="48">
        <f t="shared" si="5"/>
        <v>9052055.8999999985</v>
      </c>
      <c r="D152" s="36">
        <v>133085.79999999999</v>
      </c>
      <c r="E152" s="48">
        <f>E151+D152</f>
        <v>1088172.5</v>
      </c>
      <c r="F152" s="36">
        <v>287698.5</v>
      </c>
      <c r="G152" s="48">
        <f>G151+F152</f>
        <v>3075985.6</v>
      </c>
      <c r="H152" s="36">
        <v>92350.3</v>
      </c>
      <c r="I152" s="48">
        <f>I151+H152</f>
        <v>563721.5</v>
      </c>
      <c r="J152" s="36">
        <v>135432.20000000001</v>
      </c>
      <c r="K152" s="48">
        <f>K151+J152</f>
        <v>1195196.8999999999</v>
      </c>
      <c r="L152" s="36">
        <v>129574.2</v>
      </c>
      <c r="M152" s="48">
        <f>M151+L152</f>
        <v>1047874.2999999999</v>
      </c>
      <c r="N152" s="36">
        <v>10512.5</v>
      </c>
      <c r="O152" s="48">
        <f>O151+N152</f>
        <v>67324.100000000006</v>
      </c>
      <c r="P152" s="36">
        <v>39449.800000000003</v>
      </c>
      <c r="Q152" s="48">
        <f>Q151+P152</f>
        <v>1931831.4</v>
      </c>
      <c r="R152" s="36">
        <v>11618.2</v>
      </c>
      <c r="S152" s="54">
        <f>S151+R152</f>
        <v>81949.600000000006</v>
      </c>
      <c r="T152" s="40"/>
      <c r="U152" s="40"/>
      <c r="V152" s="40"/>
      <c r="W152" s="37"/>
      <c r="X152" s="37"/>
      <c r="Y152" s="40"/>
      <c r="Z152" s="40"/>
      <c r="AA152" s="40"/>
      <c r="AB152" s="40"/>
      <c r="AC152" s="40"/>
    </row>
    <row r="153" spans="1:29" s="41" customFormat="1" ht="19.5" customHeight="1">
      <c r="A153" s="33">
        <v>10009</v>
      </c>
      <c r="B153" s="36">
        <f t="shared" si="4"/>
        <v>1171760.5999999999</v>
      </c>
      <c r="C153" s="48">
        <f t="shared" si="5"/>
        <v>10223816.5</v>
      </c>
      <c r="D153" s="36">
        <v>120791.9</v>
      </c>
      <c r="E153" s="48">
        <f>E152+D153</f>
        <v>1208964.3999999999</v>
      </c>
      <c r="F153" s="36">
        <v>583924.1</v>
      </c>
      <c r="G153" s="48">
        <f>G152+F153</f>
        <v>3659909.7</v>
      </c>
      <c r="H153" s="36">
        <v>129434.7</v>
      </c>
      <c r="I153" s="48">
        <f>I152+H153</f>
        <v>693156.2</v>
      </c>
      <c r="J153" s="36">
        <v>127735.5</v>
      </c>
      <c r="K153" s="48">
        <f>K152+J153</f>
        <v>1322932.3999999999</v>
      </c>
      <c r="L153" s="36">
        <v>151088.4</v>
      </c>
      <c r="M153" s="48">
        <f>M152+L153</f>
        <v>1198962.7</v>
      </c>
      <c r="N153" s="36">
        <v>18360</v>
      </c>
      <c r="O153" s="48">
        <f>O152+N153</f>
        <v>85684.1</v>
      </c>
      <c r="P153" s="36">
        <v>25074.799999999999</v>
      </c>
      <c r="Q153" s="48">
        <f>Q152+P153</f>
        <v>1956906.2</v>
      </c>
      <c r="R153" s="36">
        <v>15351.2</v>
      </c>
      <c r="S153" s="54">
        <f>S152+R153</f>
        <v>97300.800000000003</v>
      </c>
      <c r="T153" s="40"/>
      <c r="U153" s="40"/>
      <c r="V153" s="40"/>
      <c r="W153" s="37"/>
      <c r="X153" s="37"/>
      <c r="Y153" s="40"/>
      <c r="Z153" s="40"/>
      <c r="AA153" s="40"/>
      <c r="AB153" s="40"/>
      <c r="AC153" s="40"/>
    </row>
    <row r="154" spans="1:29" s="41" customFormat="1" ht="19.5" customHeight="1">
      <c r="A154" s="33">
        <v>10010</v>
      </c>
      <c r="B154" s="36">
        <v>1043558</v>
      </c>
      <c r="C154" s="48">
        <v>11267374</v>
      </c>
      <c r="D154" s="36">
        <v>136993.5</v>
      </c>
      <c r="E154" s="48">
        <v>1345958</v>
      </c>
      <c r="F154" s="36">
        <v>437367.2</v>
      </c>
      <c r="G154" s="48">
        <v>4097276.9</v>
      </c>
      <c r="H154" s="36">
        <v>143103.1</v>
      </c>
      <c r="I154" s="48">
        <v>836259.2</v>
      </c>
      <c r="J154" s="36">
        <v>135320.4</v>
      </c>
      <c r="K154" s="48">
        <v>1458252.7</v>
      </c>
      <c r="L154" s="36">
        <v>132088.4</v>
      </c>
      <c r="M154" s="48">
        <v>1331051.1000000001</v>
      </c>
      <c r="N154" s="36">
        <v>22761.4</v>
      </c>
      <c r="O154" s="48">
        <v>108445.4</v>
      </c>
      <c r="P154" s="36">
        <v>24176.5</v>
      </c>
      <c r="Q154" s="48">
        <v>1981082.9</v>
      </c>
      <c r="R154" s="36">
        <v>11747.2</v>
      </c>
      <c r="S154" s="54">
        <v>109048.1</v>
      </c>
      <c r="T154" s="40"/>
      <c r="U154" s="40"/>
      <c r="V154" s="40"/>
      <c r="W154" s="37"/>
      <c r="X154" s="37"/>
      <c r="Y154" s="40"/>
      <c r="Z154" s="40"/>
      <c r="AA154" s="40"/>
      <c r="AB154" s="40"/>
      <c r="AC154" s="40"/>
    </row>
    <row r="155" spans="1:29" s="47" customFormat="1" ht="19.5" customHeight="1">
      <c r="A155" s="44">
        <v>10011</v>
      </c>
      <c r="B155" s="36">
        <v>1280066</v>
      </c>
      <c r="C155" s="48">
        <v>12547440</v>
      </c>
      <c r="D155" s="36">
        <v>196068.4</v>
      </c>
      <c r="E155" s="48">
        <v>1542026.3</v>
      </c>
      <c r="F155" s="36">
        <v>472624.8</v>
      </c>
      <c r="G155" s="48">
        <v>4569901.5999999996</v>
      </c>
      <c r="H155" s="36">
        <v>289174.3</v>
      </c>
      <c r="I155" s="48">
        <v>1125433.5</v>
      </c>
      <c r="J155" s="36">
        <v>135268.9</v>
      </c>
      <c r="K155" s="48">
        <v>1593521.6</v>
      </c>
      <c r="L155" s="36">
        <v>148938.20000000001</v>
      </c>
      <c r="M155" s="48">
        <v>1479989.3</v>
      </c>
      <c r="N155" s="36">
        <v>17577</v>
      </c>
      <c r="O155" s="48">
        <v>126022.5</v>
      </c>
      <c r="P155" s="36">
        <v>8501.2000000000007</v>
      </c>
      <c r="Q155" s="48">
        <v>1989584.3</v>
      </c>
      <c r="R155" s="36">
        <v>11912.8</v>
      </c>
      <c r="S155" s="54">
        <v>120960.9</v>
      </c>
      <c r="T155" s="45"/>
      <c r="U155" s="45"/>
      <c r="V155" s="45"/>
      <c r="W155" s="46"/>
      <c r="X155" s="46"/>
      <c r="Y155" s="45"/>
      <c r="Z155" s="45"/>
      <c r="AA155" s="45"/>
      <c r="AB155" s="45"/>
      <c r="AC155" s="45"/>
    </row>
    <row r="156" spans="1:29">
      <c r="A156" s="44">
        <v>10012</v>
      </c>
      <c r="B156" s="36">
        <v>1922140</v>
      </c>
      <c r="C156" s="48">
        <v>14469580</v>
      </c>
      <c r="D156" s="36">
        <v>229295.1</v>
      </c>
      <c r="E156" s="48">
        <v>1771321.4</v>
      </c>
      <c r="F156" s="36">
        <v>580104.1</v>
      </c>
      <c r="G156" s="48">
        <v>5150005.7</v>
      </c>
      <c r="H156" s="36">
        <v>569556.80000000005</v>
      </c>
      <c r="I156" s="48">
        <v>1694990.2</v>
      </c>
      <c r="J156" s="36">
        <v>233365.7</v>
      </c>
      <c r="K156" s="48">
        <v>1826887.2</v>
      </c>
      <c r="L156" s="36">
        <v>220392.1</v>
      </c>
      <c r="M156" s="48">
        <v>1700381.5</v>
      </c>
      <c r="N156" s="36">
        <v>50178.2</v>
      </c>
      <c r="O156" s="48">
        <v>176200.7</v>
      </c>
      <c r="P156" s="36">
        <v>24052.6</v>
      </c>
      <c r="Q156" s="48">
        <v>2013636.9</v>
      </c>
      <c r="R156" s="36">
        <v>15195.6</v>
      </c>
      <c r="S156" s="54">
        <v>136156.5</v>
      </c>
    </row>
    <row r="157" spans="1:29">
      <c r="A157" s="44">
        <v>10101</v>
      </c>
      <c r="B157" s="36">
        <v>2248963</v>
      </c>
      <c r="C157" s="48">
        <v>2248963</v>
      </c>
      <c r="D157" s="36">
        <v>174114.8</v>
      </c>
      <c r="E157" s="48">
        <v>174114.8</v>
      </c>
      <c r="F157" s="36">
        <v>915049.1</v>
      </c>
      <c r="G157" s="48">
        <v>915049.1</v>
      </c>
      <c r="H157" s="36">
        <v>33299.599999999999</v>
      </c>
      <c r="I157" s="48">
        <v>33299.599999999999</v>
      </c>
      <c r="J157" s="36">
        <v>205209.4</v>
      </c>
      <c r="K157" s="48">
        <v>205209.4</v>
      </c>
      <c r="L157" s="36">
        <v>160882.9</v>
      </c>
      <c r="M157" s="48">
        <v>160882.9</v>
      </c>
      <c r="N157" s="36">
        <v>6478.9</v>
      </c>
      <c r="O157" s="48">
        <v>6478.9</v>
      </c>
      <c r="P157" s="36">
        <v>742799.4</v>
      </c>
      <c r="Q157" s="48">
        <v>742799.4</v>
      </c>
      <c r="R157" s="36">
        <v>11128.4</v>
      </c>
      <c r="S157" s="54">
        <v>11128.4</v>
      </c>
    </row>
    <row r="158" spans="1:29">
      <c r="A158" s="44">
        <v>10102</v>
      </c>
      <c r="B158" s="36">
        <v>833559</v>
      </c>
      <c r="C158" s="48">
        <v>3082521</v>
      </c>
      <c r="D158" s="36">
        <v>116060.1</v>
      </c>
      <c r="E158" s="48">
        <v>290174.90000000002</v>
      </c>
      <c r="F158" s="36">
        <v>400700</v>
      </c>
      <c r="G158" s="48">
        <v>1315749.1000000001</v>
      </c>
      <c r="H158" s="36">
        <v>47989.3</v>
      </c>
      <c r="I158" s="48">
        <v>81288.899999999994</v>
      </c>
      <c r="J158" s="36">
        <v>118059.1</v>
      </c>
      <c r="K158" s="48">
        <v>323268.5</v>
      </c>
      <c r="L158" s="36">
        <v>110003.7</v>
      </c>
      <c r="M158" s="48">
        <v>270886.59999999998</v>
      </c>
      <c r="N158" s="36">
        <v>3379</v>
      </c>
      <c r="O158" s="48">
        <v>9857.9</v>
      </c>
      <c r="P158" s="36">
        <v>26228.2</v>
      </c>
      <c r="Q158" s="48">
        <v>769027.6</v>
      </c>
      <c r="R158" s="36">
        <v>11139.5</v>
      </c>
      <c r="S158" s="54">
        <v>22267.9</v>
      </c>
    </row>
    <row r="159" spans="1:29">
      <c r="A159" s="44">
        <v>10103</v>
      </c>
      <c r="B159" s="36">
        <v>979454</v>
      </c>
      <c r="C159" s="48">
        <v>4061975</v>
      </c>
      <c r="D159" s="36">
        <v>122641.8</v>
      </c>
      <c r="E159" s="48">
        <v>412816.7</v>
      </c>
      <c r="F159" s="36">
        <v>406293.1</v>
      </c>
      <c r="G159" s="48">
        <v>1722042.2</v>
      </c>
      <c r="H159" s="36">
        <v>35014.5</v>
      </c>
      <c r="I159" s="48">
        <v>116303.4</v>
      </c>
      <c r="J159" s="36">
        <v>237202.2</v>
      </c>
      <c r="K159" s="48">
        <v>560470.69999999995</v>
      </c>
      <c r="L159" s="36">
        <v>118574.6</v>
      </c>
      <c r="M159" s="48">
        <v>389461.2</v>
      </c>
      <c r="N159" s="36">
        <v>9797.7000000000007</v>
      </c>
      <c r="O159" s="48">
        <v>19655.599999999999</v>
      </c>
      <c r="P159" s="36">
        <v>39801.5</v>
      </c>
      <c r="Q159" s="48">
        <v>808829.1</v>
      </c>
      <c r="R159" s="36">
        <v>10128.4</v>
      </c>
      <c r="S159" s="54">
        <v>32396.3</v>
      </c>
    </row>
    <row r="160" spans="1:29">
      <c r="A160" s="44">
        <v>10104</v>
      </c>
      <c r="B160" s="36">
        <v>972509</v>
      </c>
      <c r="C160" s="48">
        <v>5034484</v>
      </c>
      <c r="D160" s="36">
        <v>178976.2</v>
      </c>
      <c r="E160" s="48">
        <v>591792.9</v>
      </c>
      <c r="F160" s="36">
        <v>440759.2</v>
      </c>
      <c r="G160" s="48">
        <v>2162801.7999999998</v>
      </c>
      <c r="H160" s="36">
        <v>60624.7</v>
      </c>
      <c r="I160" s="48">
        <v>176928.1</v>
      </c>
      <c r="J160" s="36">
        <v>124742.3</v>
      </c>
      <c r="K160" s="48">
        <v>685229</v>
      </c>
      <c r="L160" s="36">
        <v>126030.9</v>
      </c>
      <c r="M160" s="48">
        <v>515476</v>
      </c>
      <c r="N160" s="36">
        <v>22816.400000000001</v>
      </c>
      <c r="O160" s="48">
        <v>42472</v>
      </c>
      <c r="P160" s="36">
        <v>6481.8</v>
      </c>
      <c r="Q160" s="48">
        <v>815311</v>
      </c>
      <c r="R160" s="36">
        <v>12076.7</v>
      </c>
      <c r="S160" s="54">
        <v>44472.9</v>
      </c>
    </row>
    <row r="161" spans="1:19">
      <c r="A161" s="44">
        <v>10105</v>
      </c>
      <c r="B161" s="36">
        <v>1449496</v>
      </c>
      <c r="C161" s="48">
        <v>6483980</v>
      </c>
      <c r="D161" s="36">
        <v>130818.1</v>
      </c>
      <c r="E161" s="48">
        <v>722611.1</v>
      </c>
      <c r="F161" s="36">
        <v>326176.7</v>
      </c>
      <c r="G161" s="48">
        <v>2488978.5</v>
      </c>
      <c r="H161" s="36">
        <v>87817</v>
      </c>
      <c r="I161" s="48">
        <v>264745.09999999998</v>
      </c>
      <c r="J161" s="36">
        <v>126488.1</v>
      </c>
      <c r="K161" s="48">
        <v>811717.2</v>
      </c>
      <c r="L161" s="36">
        <v>153986.4</v>
      </c>
      <c r="M161" s="48">
        <v>669462.5</v>
      </c>
      <c r="N161" s="36">
        <v>7665.5</v>
      </c>
      <c r="O161" s="48">
        <v>50137.5</v>
      </c>
      <c r="P161" s="36">
        <v>604996.4</v>
      </c>
      <c r="Q161" s="48">
        <v>1367798.6910000001</v>
      </c>
      <c r="R161" s="36">
        <v>11548</v>
      </c>
      <c r="S161" s="54">
        <v>56020.9</v>
      </c>
    </row>
    <row r="162" spans="1:19">
      <c r="A162" s="44">
        <v>10106</v>
      </c>
      <c r="B162" s="36">
        <v>1048697.1000000001</v>
      </c>
      <c r="C162" s="48">
        <v>7532677.2999999998</v>
      </c>
      <c r="D162" s="36">
        <v>200773.2</v>
      </c>
      <c r="E162" s="48">
        <v>923384.2</v>
      </c>
      <c r="F162" s="36">
        <v>361098.2</v>
      </c>
      <c r="G162" s="48">
        <v>2850076.7</v>
      </c>
      <c r="H162" s="36">
        <v>173435.3</v>
      </c>
      <c r="I162" s="48">
        <v>438180.4</v>
      </c>
      <c r="J162" s="36">
        <v>124161.2</v>
      </c>
      <c r="K162" s="48">
        <v>935878.4</v>
      </c>
      <c r="L162" s="36">
        <v>154939.29999999999</v>
      </c>
      <c r="M162" s="48">
        <v>824401.8</v>
      </c>
      <c r="N162" s="36">
        <v>16907.599999999999</v>
      </c>
      <c r="O162" s="48">
        <v>67045.100000000006</v>
      </c>
      <c r="P162" s="36">
        <v>5645.7</v>
      </c>
      <c r="Q162" s="48">
        <v>1425953.1</v>
      </c>
      <c r="R162" s="36">
        <v>11736.3</v>
      </c>
      <c r="S162" s="54">
        <v>67757.2</v>
      </c>
    </row>
    <row r="163" spans="1:19">
      <c r="A163" s="44">
        <v>10107</v>
      </c>
      <c r="B163" s="36">
        <v>1356708.7</v>
      </c>
      <c r="C163" s="48">
        <v>8889386</v>
      </c>
      <c r="D163" s="36">
        <v>115503.4</v>
      </c>
      <c r="E163" s="48">
        <v>1038887.6</v>
      </c>
      <c r="F163" s="36">
        <v>346728.7</v>
      </c>
      <c r="G163" s="48">
        <v>3196805.5</v>
      </c>
      <c r="H163" s="36">
        <v>97942.5</v>
      </c>
      <c r="I163" s="48">
        <v>536122.9</v>
      </c>
      <c r="J163" s="36">
        <v>125406.5</v>
      </c>
      <c r="K163" s="48">
        <v>1061284.8999999999</v>
      </c>
      <c r="L163" s="36">
        <v>119356.3</v>
      </c>
      <c r="M163" s="48">
        <v>943758.1</v>
      </c>
      <c r="N163" s="36">
        <v>11959.3</v>
      </c>
      <c r="O163" s="48">
        <v>79004.399999999994</v>
      </c>
      <c r="P163" s="36">
        <v>528146</v>
      </c>
      <c r="Q163" s="48">
        <v>1954099.1</v>
      </c>
      <c r="R163" s="36">
        <v>11665.7</v>
      </c>
      <c r="S163" s="54">
        <v>79423</v>
      </c>
    </row>
    <row r="164" spans="1:19">
      <c r="A164" s="44">
        <v>10108</v>
      </c>
      <c r="B164" s="36">
        <v>995097.8</v>
      </c>
      <c r="C164" s="48">
        <v>9884483.8000000007</v>
      </c>
      <c r="D164" s="36">
        <v>130323</v>
      </c>
      <c r="E164" s="48">
        <v>1169210.7</v>
      </c>
      <c r="F164" s="36">
        <v>324564.09999999998</v>
      </c>
      <c r="G164" s="48">
        <v>3521369.7</v>
      </c>
      <c r="H164" s="36">
        <v>169122.3</v>
      </c>
      <c r="I164" s="48">
        <v>705245.3</v>
      </c>
      <c r="J164" s="36">
        <v>128008</v>
      </c>
      <c r="K164" s="48">
        <v>1189293</v>
      </c>
      <c r="L164" s="36">
        <v>142961.20000000001</v>
      </c>
      <c r="M164" s="48">
        <v>1086719.3</v>
      </c>
      <c r="N164" s="36">
        <v>10027.6</v>
      </c>
      <c r="O164" s="48">
        <v>89032.1</v>
      </c>
      <c r="P164" s="36">
        <v>78100</v>
      </c>
      <c r="Q164" s="48">
        <v>2032199.2</v>
      </c>
      <c r="R164" s="36">
        <v>11991.2</v>
      </c>
      <c r="S164" s="54">
        <v>91414.3</v>
      </c>
    </row>
    <row r="165" spans="1:19">
      <c r="A165" s="44">
        <v>10109</v>
      </c>
      <c r="B165" s="36">
        <v>1198432</v>
      </c>
      <c r="C165" s="48">
        <v>11082916</v>
      </c>
      <c r="D165" s="36">
        <v>144357</v>
      </c>
      <c r="E165" s="48">
        <v>1313567.7</v>
      </c>
      <c r="F165" s="36">
        <v>613122.9</v>
      </c>
      <c r="G165" s="48">
        <v>4134492.6</v>
      </c>
      <c r="H165" s="36">
        <v>155169.70000000001</v>
      </c>
      <c r="I165" s="48">
        <v>860415</v>
      </c>
      <c r="J165" s="36">
        <v>124818.9</v>
      </c>
      <c r="K165" s="48">
        <v>1314111.8999999999</v>
      </c>
      <c r="L165" s="36">
        <v>117651.1</v>
      </c>
      <c r="M165" s="48">
        <v>1204370.5</v>
      </c>
      <c r="N165" s="36">
        <v>19535.8</v>
      </c>
      <c r="O165" s="48">
        <v>108567.9</v>
      </c>
      <c r="P165" s="36">
        <v>11944.1</v>
      </c>
      <c r="Q165" s="48">
        <v>2044143.4</v>
      </c>
      <c r="R165" s="36">
        <v>11832.7</v>
      </c>
      <c r="S165" s="54">
        <v>103247</v>
      </c>
    </row>
    <row r="166" spans="1:19">
      <c r="A166" s="44">
        <v>10110</v>
      </c>
      <c r="B166" s="36">
        <v>1212955</v>
      </c>
      <c r="C166" s="48">
        <v>12295871</v>
      </c>
      <c r="D166" s="36">
        <v>164581</v>
      </c>
      <c r="E166" s="48">
        <v>1478149</v>
      </c>
      <c r="F166" s="36">
        <v>394180</v>
      </c>
      <c r="G166" s="48">
        <v>4528672</v>
      </c>
      <c r="H166" s="36">
        <v>321826</v>
      </c>
      <c r="I166" s="48">
        <v>1182241</v>
      </c>
      <c r="J166" s="36">
        <v>131630</v>
      </c>
      <c r="K166" s="48">
        <v>1445742</v>
      </c>
      <c r="L166" s="36">
        <v>140940</v>
      </c>
      <c r="M166" s="48">
        <v>1345310</v>
      </c>
      <c r="N166" s="36">
        <v>9369</v>
      </c>
      <c r="O166" s="48">
        <v>117937</v>
      </c>
      <c r="P166" s="36">
        <f>6330+32303</f>
        <v>38633</v>
      </c>
      <c r="Q166" s="48">
        <f>1978081+104697</f>
        <v>2082778</v>
      </c>
      <c r="R166" s="36">
        <v>11796</v>
      </c>
      <c r="S166" s="54">
        <v>115043</v>
      </c>
    </row>
    <row r="167" spans="1:19">
      <c r="A167" s="44">
        <v>10111</v>
      </c>
      <c r="B167" s="36">
        <v>1116972</v>
      </c>
      <c r="C167" s="48">
        <f>C166+B167</f>
        <v>13412843</v>
      </c>
      <c r="D167" s="36">
        <v>143537</v>
      </c>
      <c r="E167" s="48">
        <f>E166+D167</f>
        <v>1621686</v>
      </c>
      <c r="F167" s="36">
        <v>341602</v>
      </c>
      <c r="G167" s="48">
        <f>G166+F167</f>
        <v>4870274</v>
      </c>
      <c r="H167" s="36">
        <v>302752</v>
      </c>
      <c r="I167" s="48">
        <f>I166+H167</f>
        <v>1484993</v>
      </c>
      <c r="J167" s="36">
        <v>142061</v>
      </c>
      <c r="K167" s="48">
        <f>K166+J167</f>
        <v>1587803</v>
      </c>
      <c r="L167" s="36">
        <v>138996</v>
      </c>
      <c r="M167" s="48">
        <f>M166+L167</f>
        <v>1484306</v>
      </c>
      <c r="N167" s="36">
        <v>22764</v>
      </c>
      <c r="O167" s="48">
        <f>O166+N167</f>
        <v>140701</v>
      </c>
      <c r="P167" s="36">
        <f>2051+11090</f>
        <v>13141</v>
      </c>
      <c r="Q167" s="48">
        <f>1980131+115787</f>
        <v>2095918</v>
      </c>
      <c r="R167" s="36">
        <v>12120</v>
      </c>
      <c r="S167" s="54">
        <f>S166+R167</f>
        <v>127163</v>
      </c>
    </row>
    <row r="168" spans="1:19">
      <c r="A168" s="44">
        <v>10112</v>
      </c>
      <c r="B168" s="36">
        <v>1608339</v>
      </c>
      <c r="C168" s="48">
        <v>15021183</v>
      </c>
      <c r="D168" s="36">
        <v>257394</v>
      </c>
      <c r="E168" s="48">
        <f>E167+D168</f>
        <v>1879080</v>
      </c>
      <c r="F168" s="36">
        <v>289804</v>
      </c>
      <c r="G168" s="48">
        <f>G167+F168</f>
        <v>5160078</v>
      </c>
      <c r="H168" s="36">
        <v>512136</v>
      </c>
      <c r="I168" s="48">
        <f>I167+H168</f>
        <v>1997129</v>
      </c>
      <c r="J168" s="36">
        <v>211575</v>
      </c>
      <c r="K168" s="48">
        <f>K167+J168</f>
        <v>1799378</v>
      </c>
      <c r="L168" s="36">
        <v>278650</v>
      </c>
      <c r="M168" s="48">
        <f>M167+L168</f>
        <v>1762956</v>
      </c>
      <c r="N168" s="36">
        <v>36050</v>
      </c>
      <c r="O168" s="48">
        <v>176750</v>
      </c>
      <c r="P168" s="36">
        <f>1410+7661</f>
        <v>9071</v>
      </c>
      <c r="Q168" s="48">
        <f>1981541+123447</f>
        <v>2104988</v>
      </c>
      <c r="R168" s="36">
        <v>13661</v>
      </c>
      <c r="S168" s="54">
        <f>S167+R168</f>
        <v>140824</v>
      </c>
    </row>
    <row r="169" spans="1:19">
      <c r="A169" s="44">
        <v>10201</v>
      </c>
      <c r="B169" s="36">
        <v>2320912.1</v>
      </c>
      <c r="C169" s="48">
        <f>B169</f>
        <v>2320912.1</v>
      </c>
      <c r="D169" s="36">
        <v>160261</v>
      </c>
      <c r="E169" s="48">
        <f>D169</f>
        <v>160261</v>
      </c>
      <c r="F169" s="36">
        <v>1032014.3</v>
      </c>
      <c r="G169" s="48">
        <f>F169</f>
        <v>1032014.3</v>
      </c>
      <c r="H169" s="36">
        <v>68355.3</v>
      </c>
      <c r="I169" s="48">
        <f>H169</f>
        <v>68355.3</v>
      </c>
      <c r="J169" s="36">
        <v>204078.3</v>
      </c>
      <c r="K169" s="48">
        <f>J169</f>
        <v>204078.3</v>
      </c>
      <c r="L169" s="36">
        <v>117595.3</v>
      </c>
      <c r="M169" s="48">
        <f>L169</f>
        <v>117595.3</v>
      </c>
      <c r="N169" s="36">
        <v>5202.8</v>
      </c>
      <c r="O169" s="48">
        <f>N169</f>
        <v>5202.8</v>
      </c>
      <c r="P169" s="36">
        <f>721537.8+8.8</f>
        <v>721546.60000000009</v>
      </c>
      <c r="Q169" s="48">
        <f>P169</f>
        <v>721546.60000000009</v>
      </c>
      <c r="R169" s="36">
        <v>11858.5</v>
      </c>
      <c r="S169" s="54">
        <f>R169</f>
        <v>11858.5</v>
      </c>
    </row>
    <row r="170" spans="1:19">
      <c r="A170" s="44">
        <v>10202</v>
      </c>
      <c r="B170" s="36">
        <v>855940.7</v>
      </c>
      <c r="C170" s="48">
        <f>B170+C169</f>
        <v>3176852.8</v>
      </c>
      <c r="D170" s="36">
        <v>99173.4</v>
      </c>
      <c r="E170" s="48">
        <f t="shared" ref="E170:E175" si="6">D170+E169</f>
        <v>259434.4</v>
      </c>
      <c r="F170" s="36">
        <v>343644.6</v>
      </c>
      <c r="G170" s="48">
        <f>F170+G169</f>
        <v>1375658.9</v>
      </c>
      <c r="H170" s="36">
        <v>120181.7</v>
      </c>
      <c r="I170" s="48">
        <f>H170+I169</f>
        <v>188537</v>
      </c>
      <c r="J170" s="36">
        <v>111108.2</v>
      </c>
      <c r="K170" s="48">
        <f>J170+K169</f>
        <v>315186.5</v>
      </c>
      <c r="L170" s="36">
        <v>131405.1</v>
      </c>
      <c r="M170" s="48">
        <f>L170+M169</f>
        <v>249000.40000000002</v>
      </c>
      <c r="N170" s="36">
        <v>3357</v>
      </c>
      <c r="O170" s="48">
        <f>N170+O169</f>
        <v>8559.7999999999993</v>
      </c>
      <c r="P170" s="36">
        <f>30763.1+752300.8</f>
        <v>783063.9</v>
      </c>
      <c r="Q170" s="48">
        <f>752300.8+4507.7</f>
        <v>756808.5</v>
      </c>
      <c r="R170" s="36">
        <v>11808.8</v>
      </c>
      <c r="S170" s="54">
        <f>R170+S169</f>
        <v>23667.3</v>
      </c>
    </row>
    <row r="171" spans="1:19">
      <c r="A171" s="44">
        <v>10203</v>
      </c>
      <c r="B171" s="36">
        <v>791027</v>
      </c>
      <c r="C171" s="48">
        <f>B171+C170</f>
        <v>3967879.8</v>
      </c>
      <c r="D171" s="36">
        <v>131855</v>
      </c>
      <c r="E171" s="48">
        <f t="shared" si="6"/>
        <v>391289.4</v>
      </c>
      <c r="F171" s="36">
        <v>368881</v>
      </c>
      <c r="G171" s="48">
        <f>F171+G170</f>
        <v>1744539.9</v>
      </c>
      <c r="H171" s="36">
        <v>27542</v>
      </c>
      <c r="I171" s="48">
        <f>H171+I170</f>
        <v>216079</v>
      </c>
      <c r="J171" s="36">
        <v>122181</v>
      </c>
      <c r="K171" s="48">
        <f>J171+K170</f>
        <v>437367.5</v>
      </c>
      <c r="L171" s="36">
        <v>113066</v>
      </c>
      <c r="M171" s="48">
        <f>L171+M170</f>
        <v>362066.4</v>
      </c>
      <c r="N171" s="36">
        <v>5860</v>
      </c>
      <c r="O171" s="48">
        <f>N171+O170</f>
        <v>14419.8</v>
      </c>
      <c r="P171" s="36">
        <f>6836+3515</f>
        <v>10351</v>
      </c>
      <c r="Q171" s="48">
        <f>P171+Q170</f>
        <v>767159.5</v>
      </c>
      <c r="R171" s="36">
        <v>11292</v>
      </c>
      <c r="S171" s="54">
        <f>R171+S170</f>
        <v>34959.300000000003</v>
      </c>
    </row>
    <row r="172" spans="1:19">
      <c r="A172" s="44">
        <v>10204</v>
      </c>
      <c r="B172" s="36">
        <v>1059298</v>
      </c>
      <c r="C172" s="48">
        <f>B172+C171</f>
        <v>5027177.8</v>
      </c>
      <c r="D172" s="36">
        <v>190368</v>
      </c>
      <c r="E172" s="48">
        <f t="shared" si="6"/>
        <v>581657.4</v>
      </c>
      <c r="F172" s="36">
        <v>457018</v>
      </c>
      <c r="G172" s="48">
        <f>F172+G171</f>
        <v>2201557.9</v>
      </c>
      <c r="H172" s="36">
        <v>80291</v>
      </c>
      <c r="I172" s="48">
        <f>H172+I171</f>
        <v>296370</v>
      </c>
      <c r="J172" s="36">
        <v>127200</v>
      </c>
      <c r="K172" s="48">
        <f>J172+K171</f>
        <v>564567.5</v>
      </c>
      <c r="L172" s="36">
        <v>132068</v>
      </c>
      <c r="M172" s="48">
        <f>L172+M171</f>
        <v>494134.4</v>
      </c>
      <c r="N172" s="36">
        <v>19979</v>
      </c>
      <c r="O172" s="48">
        <f>N172+O171</f>
        <v>34398.800000000003</v>
      </c>
      <c r="P172" s="36">
        <f>9688+30889</f>
        <v>40577</v>
      </c>
      <c r="Q172" s="48">
        <f>P172+Q171</f>
        <v>807736.5</v>
      </c>
      <c r="R172" s="36">
        <v>11796</v>
      </c>
      <c r="S172" s="54">
        <f>R172+S171</f>
        <v>46755.3</v>
      </c>
    </row>
    <row r="173" spans="1:19">
      <c r="A173" s="44">
        <v>10205</v>
      </c>
      <c r="B173" s="36">
        <v>1608199</v>
      </c>
      <c r="C173" s="48">
        <f>B173+C172</f>
        <v>6635376.7999999998</v>
      </c>
      <c r="D173" s="36">
        <v>121366</v>
      </c>
      <c r="E173" s="48">
        <f t="shared" si="6"/>
        <v>703023.4</v>
      </c>
      <c r="F173" s="36">
        <v>348906</v>
      </c>
      <c r="G173" s="48">
        <f>F173+G172</f>
        <v>2550463.9</v>
      </c>
      <c r="H173" s="36">
        <v>67479</v>
      </c>
      <c r="I173" s="48">
        <f>H173+I172</f>
        <v>363849</v>
      </c>
      <c r="J173" s="36">
        <v>243000</v>
      </c>
      <c r="K173" s="48">
        <v>807567</v>
      </c>
      <c r="L173" s="36">
        <v>170409</v>
      </c>
      <c r="M173" s="48">
        <f>L173+M172</f>
        <v>664543.4</v>
      </c>
      <c r="N173" s="36">
        <v>8414</v>
      </c>
      <c r="O173" s="48">
        <v>42814</v>
      </c>
      <c r="P173" s="36">
        <f>630483+6720</f>
        <v>637203</v>
      </c>
      <c r="Q173" s="48">
        <f>P173+Q172</f>
        <v>1444939.5</v>
      </c>
      <c r="R173" s="36">
        <v>11423</v>
      </c>
      <c r="S173" s="54">
        <f>R173+S172</f>
        <v>58178.3</v>
      </c>
    </row>
    <row r="174" spans="1:19">
      <c r="A174" s="44">
        <v>10206</v>
      </c>
      <c r="B174" s="36">
        <v>1062577</v>
      </c>
      <c r="C174" s="48">
        <f>B174+C173</f>
        <v>7697953.7999999998</v>
      </c>
      <c r="D174" s="36">
        <v>128136</v>
      </c>
      <c r="E174" s="48">
        <f t="shared" si="6"/>
        <v>831159.4</v>
      </c>
      <c r="F174" s="36">
        <v>344027</v>
      </c>
      <c r="G174" s="48">
        <v>2894490</v>
      </c>
      <c r="H174" s="36">
        <v>310833</v>
      </c>
      <c r="I174" s="48">
        <f>H174+I173</f>
        <v>674682</v>
      </c>
      <c r="J174" s="36">
        <v>122473</v>
      </c>
      <c r="K174" s="48">
        <f>J174+K173</f>
        <v>930040</v>
      </c>
      <c r="L174" s="36">
        <v>153855</v>
      </c>
      <c r="M174" s="48">
        <f>L174+M173</f>
        <v>818398.4</v>
      </c>
      <c r="N174" s="36">
        <v>27996</v>
      </c>
      <c r="O174" s="48">
        <f>N174+O173</f>
        <v>70810</v>
      </c>
      <c r="P174" s="36">
        <f>-37937+2422</f>
        <v>-35515</v>
      </c>
      <c r="Q174" s="48">
        <f>P174+Q173</f>
        <v>1409424.5</v>
      </c>
      <c r="R174" s="36">
        <v>10773</v>
      </c>
      <c r="S174" s="54">
        <v>68952</v>
      </c>
    </row>
    <row r="175" spans="1:19">
      <c r="A175" s="44">
        <v>10207</v>
      </c>
      <c r="B175" s="36">
        <v>1697312</v>
      </c>
      <c r="C175" s="48">
        <v>9395266</v>
      </c>
      <c r="D175" s="36">
        <v>155860</v>
      </c>
      <c r="E175" s="48">
        <f t="shared" si="6"/>
        <v>987019.4</v>
      </c>
      <c r="F175" s="36">
        <v>552130</v>
      </c>
      <c r="G175" s="48">
        <v>3446620</v>
      </c>
      <c r="H175" s="36">
        <v>77742</v>
      </c>
      <c r="I175" s="48">
        <v>752424</v>
      </c>
      <c r="J175" s="36">
        <v>128831</v>
      </c>
      <c r="K175" s="48">
        <f>J175+K174</f>
        <v>1058871</v>
      </c>
      <c r="L175" s="36">
        <v>168911</v>
      </c>
      <c r="M175" s="48">
        <v>987308</v>
      </c>
      <c r="N175" s="36">
        <v>10940</v>
      </c>
      <c r="O175" s="48">
        <f>N175+O174</f>
        <v>81750</v>
      </c>
      <c r="P175" s="36">
        <f>589366+3263</f>
        <v>592629</v>
      </c>
      <c r="Q175" s="48">
        <f>1950737+51316</f>
        <v>2002053</v>
      </c>
      <c r="R175" s="36">
        <v>10270</v>
      </c>
      <c r="S175" s="54">
        <v>79221</v>
      </c>
    </row>
    <row r="176" spans="1:19">
      <c r="A176" s="44">
        <v>10208</v>
      </c>
      <c r="B176" s="36">
        <v>852860</v>
      </c>
      <c r="C176" s="48">
        <v>10248125</v>
      </c>
      <c r="D176" s="36">
        <v>120625</v>
      </c>
      <c r="E176" s="48">
        <v>1107644</v>
      </c>
      <c r="F176" s="36">
        <v>350253</v>
      </c>
      <c r="G176" s="48">
        <v>3796872</v>
      </c>
      <c r="H176" s="36">
        <v>154482</v>
      </c>
      <c r="I176" s="48">
        <v>906906</v>
      </c>
      <c r="J176" s="36">
        <v>126694</v>
      </c>
      <c r="K176" s="48">
        <v>1185565</v>
      </c>
      <c r="L176" s="36">
        <v>153002</v>
      </c>
      <c r="M176" s="48">
        <v>1140311</v>
      </c>
      <c r="N176" s="36">
        <v>11029</v>
      </c>
      <c r="O176" s="48">
        <v>92779</v>
      </c>
      <c r="P176" s="36">
        <f>-76851+3072</f>
        <v>-73779</v>
      </c>
      <c r="Q176" s="48">
        <f>1873887+3072</f>
        <v>1876959</v>
      </c>
      <c r="R176" s="36">
        <v>10553</v>
      </c>
      <c r="S176" s="54">
        <v>89774</v>
      </c>
    </row>
    <row r="177" spans="1:19">
      <c r="A177" s="44">
        <v>10209</v>
      </c>
      <c r="B177" s="36">
        <v>1123082.8</v>
      </c>
      <c r="C177" s="48">
        <v>11371208.199999999</v>
      </c>
      <c r="D177" s="36">
        <v>123271.3</v>
      </c>
      <c r="E177" s="48">
        <v>1230915.6000000001</v>
      </c>
      <c r="F177" s="36">
        <v>502009.7</v>
      </c>
      <c r="G177" s="48">
        <v>4298882</v>
      </c>
      <c r="H177" s="36">
        <v>197389.2</v>
      </c>
      <c r="I177" s="48">
        <v>1104294.8</v>
      </c>
      <c r="J177" s="36">
        <v>128328.1</v>
      </c>
      <c r="K177" s="48">
        <v>1313892.8</v>
      </c>
      <c r="L177" s="36">
        <v>140606.29999999999</v>
      </c>
      <c r="M177" s="48">
        <v>1280917.1000000001</v>
      </c>
      <c r="N177" s="36">
        <v>13521</v>
      </c>
      <c r="O177" s="48">
        <v>106300.1</v>
      </c>
      <c r="P177" s="36">
        <f>3717.3+3117.9</f>
        <v>6835.2000000000007</v>
      </c>
      <c r="Q177" s="48">
        <f>1877603.8+57505.8</f>
        <v>1935109.6</v>
      </c>
      <c r="R177" s="36">
        <v>11122.1</v>
      </c>
      <c r="S177" s="54">
        <v>100896.2</v>
      </c>
    </row>
    <row r="178" spans="1:19">
      <c r="A178" s="44">
        <v>10210</v>
      </c>
      <c r="B178" s="36">
        <v>1096880.8</v>
      </c>
      <c r="C178" s="48">
        <f>B178+C177</f>
        <v>12468089</v>
      </c>
      <c r="D178" s="36">
        <v>160333.20000000001</v>
      </c>
      <c r="E178" s="48">
        <f>D178+E177</f>
        <v>1391248.8</v>
      </c>
      <c r="F178" s="36">
        <v>414014.6</v>
      </c>
      <c r="G178" s="48">
        <f>F178+G177</f>
        <v>4712896.5999999996</v>
      </c>
      <c r="H178" s="36">
        <v>186718.3</v>
      </c>
      <c r="I178" s="48">
        <f>H178+I177</f>
        <v>1291013.1000000001</v>
      </c>
      <c r="J178" s="36">
        <v>120274.2</v>
      </c>
      <c r="K178" s="48">
        <f>K177+J178</f>
        <v>1434167</v>
      </c>
      <c r="L178" s="36">
        <v>162264.5</v>
      </c>
      <c r="M178" s="48">
        <f>L178+M177</f>
        <v>1443181.6</v>
      </c>
      <c r="N178" s="36">
        <v>13108.6</v>
      </c>
      <c r="O178" s="48">
        <f>N178+O177</f>
        <v>119408.70000000001</v>
      </c>
      <c r="P178" s="36">
        <v>29501.8</v>
      </c>
      <c r="Q178" s="48">
        <f>P178+Q177</f>
        <v>1964611.4000000001</v>
      </c>
      <c r="R178" s="36">
        <v>10665.5</v>
      </c>
      <c r="S178" s="54">
        <f>R178+S177</f>
        <v>111561.7</v>
      </c>
    </row>
    <row r="179" spans="1:19">
      <c r="A179" s="44">
        <v>10211</v>
      </c>
      <c r="B179" s="36">
        <v>1280524.7</v>
      </c>
      <c r="C179" s="48">
        <f>B179+C178</f>
        <v>13748613.699999999</v>
      </c>
      <c r="D179" s="36">
        <v>195689.5</v>
      </c>
      <c r="E179" s="48">
        <f>D179+E178</f>
        <v>1586938.3</v>
      </c>
      <c r="F179" s="36">
        <v>384293.2</v>
      </c>
      <c r="G179" s="48">
        <f>F179+G178</f>
        <v>5097189.8</v>
      </c>
      <c r="H179" s="36">
        <v>323887.59999999998</v>
      </c>
      <c r="I179" s="48">
        <f>H179+I178</f>
        <v>1614900.7000000002</v>
      </c>
      <c r="J179" s="36">
        <v>128312.8</v>
      </c>
      <c r="K179" s="48">
        <f>K178+J179</f>
        <v>1562479.8</v>
      </c>
      <c r="L179" s="36">
        <v>164624.70000000001</v>
      </c>
      <c r="M179" s="48">
        <f>L179+M178</f>
        <v>1607806.3</v>
      </c>
      <c r="N179" s="36">
        <v>51748.800000000003</v>
      </c>
      <c r="O179" s="48">
        <f>N179+O178</f>
        <v>171157.5</v>
      </c>
      <c r="P179" s="36">
        <v>21146.400000000001</v>
      </c>
      <c r="Q179" s="48">
        <f>P179+Q178</f>
        <v>1985757.8</v>
      </c>
      <c r="R179" s="36">
        <v>10821.6</v>
      </c>
      <c r="S179" s="54">
        <f>R179+S178</f>
        <v>122383.3</v>
      </c>
    </row>
    <row r="180" spans="1:19">
      <c r="A180" s="44">
        <v>10212</v>
      </c>
      <c r="B180" s="36">
        <v>1619103.8</v>
      </c>
      <c r="C180" s="48">
        <f>B180+C179</f>
        <v>15367717.5</v>
      </c>
      <c r="D180" s="36">
        <v>248312.6</v>
      </c>
      <c r="E180" s="48">
        <f>D180+E179</f>
        <v>1835250.9000000001</v>
      </c>
      <c r="F180" s="36">
        <v>141818.1</v>
      </c>
      <c r="G180" s="48">
        <f>F180+G179</f>
        <v>5239007.8999999994</v>
      </c>
      <c r="H180" s="36">
        <v>663458.69999999995</v>
      </c>
      <c r="I180" s="48">
        <f>H180+I179</f>
        <v>2278359.4000000004</v>
      </c>
      <c r="J180" s="36">
        <v>235027.9</v>
      </c>
      <c r="K180" s="48">
        <f>K179+J180</f>
        <v>1797507.7</v>
      </c>
      <c r="L180" s="36">
        <v>247641.60000000001</v>
      </c>
      <c r="M180" s="48">
        <f>L180+M179</f>
        <v>1855447.9000000001</v>
      </c>
      <c r="N180" s="36">
        <v>48358.3</v>
      </c>
      <c r="O180" s="48">
        <f>N180+O179</f>
        <v>219515.8</v>
      </c>
      <c r="P180" s="36">
        <v>22445.8</v>
      </c>
      <c r="Q180" s="48">
        <f>P180+Q179</f>
        <v>2008203.6</v>
      </c>
      <c r="R180" s="36">
        <v>12040.8</v>
      </c>
      <c r="S180" s="54">
        <f>R180+S179</f>
        <v>134424.1</v>
      </c>
    </row>
    <row r="181" spans="1:19">
      <c r="A181" s="44">
        <v>10301</v>
      </c>
      <c r="B181" s="36">
        <v>2191925.2999999998</v>
      </c>
      <c r="C181" s="48">
        <v>2191925.2999999998</v>
      </c>
      <c r="D181" s="36">
        <v>179990.7</v>
      </c>
      <c r="E181" s="48">
        <v>179990.7</v>
      </c>
      <c r="F181" s="36">
        <v>945286.3</v>
      </c>
      <c r="G181" s="48">
        <v>945286.3</v>
      </c>
      <c r="H181" s="36">
        <v>77959</v>
      </c>
      <c r="I181" s="48">
        <v>77959</v>
      </c>
      <c r="J181" s="36">
        <v>202444.4</v>
      </c>
      <c r="K181" s="48">
        <v>202444.4</v>
      </c>
      <c r="L181" s="36">
        <v>140936.70000000001</v>
      </c>
      <c r="M181" s="48">
        <v>140936.70000000001</v>
      </c>
      <c r="N181" s="36">
        <v>5707.2</v>
      </c>
      <c r="O181" s="48">
        <v>5707.2</v>
      </c>
      <c r="P181" s="36">
        <v>629005.1</v>
      </c>
      <c r="Q181" s="48">
        <v>629005.1</v>
      </c>
      <c r="R181" s="36">
        <v>10595.9</v>
      </c>
      <c r="S181" s="54">
        <v>10595.9</v>
      </c>
    </row>
    <row r="182" spans="1:19">
      <c r="A182" s="44">
        <v>10302</v>
      </c>
      <c r="B182" s="36">
        <v>769787.63199999998</v>
      </c>
      <c r="C182" s="48">
        <v>2961712.9019999998</v>
      </c>
      <c r="D182" s="36">
        <v>93058.107000000004</v>
      </c>
      <c r="E182" s="48">
        <v>273048.79800000001</v>
      </c>
      <c r="F182" s="36">
        <v>419562.19699999999</v>
      </c>
      <c r="G182" s="48">
        <v>1364848.4890000001</v>
      </c>
      <c r="H182" s="36">
        <v>16908.167000000001</v>
      </c>
      <c r="I182" s="48">
        <v>94867.167000000001</v>
      </c>
      <c r="J182" s="36">
        <v>110321.944</v>
      </c>
      <c r="K182" s="48">
        <v>312766.30800000002</v>
      </c>
      <c r="L182" s="36">
        <v>107474.781</v>
      </c>
      <c r="M182" s="48">
        <v>248411.467</v>
      </c>
      <c r="N182" s="36">
        <v>4727.9539999999997</v>
      </c>
      <c r="O182" s="48">
        <v>10435.178</v>
      </c>
      <c r="P182" s="36">
        <v>7094.4</v>
      </c>
      <c r="Q182" s="48">
        <v>636099.5</v>
      </c>
      <c r="R182" s="36">
        <v>10640.128000000001</v>
      </c>
      <c r="S182" s="54">
        <v>21235.991000000002</v>
      </c>
    </row>
    <row r="183" spans="1:19">
      <c r="A183" s="44">
        <v>10303</v>
      </c>
      <c r="B183" s="36">
        <v>921765.63899999985</v>
      </c>
      <c r="C183" s="48">
        <v>3883478.5409999997</v>
      </c>
      <c r="D183" s="36">
        <v>131927.625</v>
      </c>
      <c r="E183" s="48">
        <v>404976.42300000001</v>
      </c>
      <c r="F183" s="36">
        <v>449328.80599999998</v>
      </c>
      <c r="G183" s="48">
        <v>1814177.2949999999</v>
      </c>
      <c r="H183" s="36">
        <v>27008.317999999999</v>
      </c>
      <c r="I183" s="48">
        <v>121875.485</v>
      </c>
      <c r="J183" s="36">
        <v>118467.33100000001</v>
      </c>
      <c r="K183" s="48">
        <v>431233.63900000002</v>
      </c>
      <c r="L183" s="36">
        <v>138572.87400000001</v>
      </c>
      <c r="M183" s="48">
        <v>386984.34100000001</v>
      </c>
      <c r="N183" s="36">
        <v>9943.2199999999993</v>
      </c>
      <c r="O183" s="48">
        <v>20378.398000000001</v>
      </c>
      <c r="P183" s="36">
        <v>36656.400000000001</v>
      </c>
      <c r="Q183" s="48">
        <v>672755.9</v>
      </c>
      <c r="R183" s="36">
        <v>9861.0280000000002</v>
      </c>
      <c r="S183" s="54">
        <v>31097.019</v>
      </c>
    </row>
    <row r="184" spans="1:19">
      <c r="A184" s="44">
        <v>10304</v>
      </c>
      <c r="B184" s="36">
        <v>1145990.6090000002</v>
      </c>
      <c r="C184" s="48">
        <v>5029469.1500000004</v>
      </c>
      <c r="D184" s="36">
        <v>202757.18700000001</v>
      </c>
      <c r="E184" s="48">
        <v>607733.61</v>
      </c>
      <c r="F184" s="36">
        <v>440044.511</v>
      </c>
      <c r="G184" s="48">
        <v>2254221.8059999999</v>
      </c>
      <c r="H184" s="36">
        <v>40342.042000000001</v>
      </c>
      <c r="I184" s="48">
        <v>162217.527</v>
      </c>
      <c r="J184" s="36">
        <v>251283.56</v>
      </c>
      <c r="K184" s="48">
        <v>682517.19900000002</v>
      </c>
      <c r="L184" s="36">
        <v>142941.807</v>
      </c>
      <c r="M184" s="48">
        <v>529926.14800000004</v>
      </c>
      <c r="N184" s="36">
        <v>37486.902000000002</v>
      </c>
      <c r="O184" s="48">
        <v>57865.3</v>
      </c>
      <c r="P184" s="36">
        <v>20942.8</v>
      </c>
      <c r="Q184" s="48">
        <v>693698.7</v>
      </c>
      <c r="R184" s="36">
        <v>10191.816999999999</v>
      </c>
      <c r="S184" s="54">
        <v>41288.836000000003</v>
      </c>
    </row>
    <row r="185" spans="1:19">
      <c r="A185" s="44">
        <v>10305</v>
      </c>
      <c r="B185" s="36">
        <v>1503343.956</v>
      </c>
      <c r="C185" s="48">
        <v>6532813.1059999997</v>
      </c>
      <c r="D185" s="36">
        <v>132657.234</v>
      </c>
      <c r="E185" s="48">
        <v>740390.84400000004</v>
      </c>
      <c r="F185" s="36">
        <v>356242.91</v>
      </c>
      <c r="G185" s="48">
        <v>2610464.716</v>
      </c>
      <c r="H185" s="36">
        <v>83755.55</v>
      </c>
      <c r="I185" s="48">
        <v>245973.07699999999</v>
      </c>
      <c r="J185" s="36">
        <v>121573.45699999999</v>
      </c>
      <c r="K185" s="48">
        <v>804090.65599999996</v>
      </c>
      <c r="L185" s="36">
        <v>168929.18299999999</v>
      </c>
      <c r="M185" s="48">
        <v>698855.33100000001</v>
      </c>
      <c r="N185" s="36">
        <v>7439.8630000000003</v>
      </c>
      <c r="O185" s="48">
        <v>65305.163</v>
      </c>
      <c r="P185" s="36">
        <v>622664.1</v>
      </c>
      <c r="Q185" s="48">
        <v>1316362.8</v>
      </c>
      <c r="R185" s="36">
        <v>10081.648999999999</v>
      </c>
      <c r="S185" s="54">
        <v>51370.485000000001</v>
      </c>
    </row>
    <row r="186" spans="1:19">
      <c r="A186" s="44">
        <v>10306</v>
      </c>
      <c r="B186" s="36">
        <v>1167505.3109999998</v>
      </c>
      <c r="C186" s="48">
        <v>7700318.4170000013</v>
      </c>
      <c r="D186" s="36">
        <v>226843.40599999999</v>
      </c>
      <c r="E186" s="48">
        <v>967234.25</v>
      </c>
      <c r="F186" s="36">
        <v>365980.14</v>
      </c>
      <c r="G186" s="48">
        <v>2976444.8560000001</v>
      </c>
      <c r="H186" s="36">
        <v>235443.43299999999</v>
      </c>
      <c r="I186" s="48">
        <v>481416.51</v>
      </c>
      <c r="J186" s="36">
        <v>126118.694</v>
      </c>
      <c r="K186" s="48">
        <v>930209.35</v>
      </c>
      <c r="L186" s="36">
        <v>180841.08100000001</v>
      </c>
      <c r="M186" s="48">
        <v>879696.41200000001</v>
      </c>
      <c r="N186" s="36">
        <v>12992.243</v>
      </c>
      <c r="O186" s="48">
        <v>78297.406000000003</v>
      </c>
      <c r="P186" s="36">
        <v>9122.1</v>
      </c>
      <c r="Q186" s="48">
        <v>1325485</v>
      </c>
      <c r="R186" s="36">
        <v>10164.187</v>
      </c>
      <c r="S186" s="54">
        <v>61534.671999999999</v>
      </c>
    </row>
    <row r="187" spans="1:19">
      <c r="A187" s="44">
        <v>10307</v>
      </c>
      <c r="B187" s="36">
        <v>1670444.3</v>
      </c>
      <c r="C187" s="48">
        <v>9370762.6999999993</v>
      </c>
      <c r="D187" s="36">
        <v>120896</v>
      </c>
      <c r="E187" s="48">
        <v>1088130.2</v>
      </c>
      <c r="F187" s="36">
        <v>457109.3</v>
      </c>
      <c r="G187" s="48">
        <v>3433554.2</v>
      </c>
      <c r="H187" s="36">
        <v>159534.1</v>
      </c>
      <c r="I187" s="48">
        <v>640590.6</v>
      </c>
      <c r="J187" s="36">
        <v>121089.1</v>
      </c>
      <c r="K187" s="48">
        <v>1051298.3999999999</v>
      </c>
      <c r="L187" s="36">
        <v>171417.3</v>
      </c>
      <c r="M187" s="48">
        <v>1051117.3</v>
      </c>
      <c r="N187" s="36">
        <v>16660</v>
      </c>
      <c r="O187" s="48">
        <v>94957.4</v>
      </c>
      <c r="P187" s="36">
        <v>613671.69999999995</v>
      </c>
      <c r="Q187" s="48">
        <v>1939156.7</v>
      </c>
      <c r="R187" s="36">
        <v>10066.799999999999</v>
      </c>
      <c r="S187" s="54">
        <v>71601.5</v>
      </c>
    </row>
    <row r="188" spans="1:19">
      <c r="A188" s="44">
        <v>10308</v>
      </c>
      <c r="B188" s="36">
        <v>1075919.5</v>
      </c>
      <c r="C188" s="48">
        <v>10446682.6</v>
      </c>
      <c r="D188" s="36">
        <v>181140</v>
      </c>
      <c r="E188" s="48">
        <v>1269270.6000000001</v>
      </c>
      <c r="F188" s="36">
        <v>402246</v>
      </c>
      <c r="G188" s="48">
        <v>3835800.2</v>
      </c>
      <c r="H188" s="36">
        <v>134663.1</v>
      </c>
      <c r="I188" s="48">
        <v>775613.7</v>
      </c>
      <c r="J188" s="36">
        <v>122742.3</v>
      </c>
      <c r="K188" s="48">
        <v>1174040.7</v>
      </c>
      <c r="L188" s="36">
        <v>175917.4</v>
      </c>
      <c r="M188" s="48">
        <v>1227031.1000000001</v>
      </c>
      <c r="N188" s="36">
        <v>12732</v>
      </c>
      <c r="O188" s="48">
        <v>107689.4</v>
      </c>
      <c r="P188" s="36">
        <v>36211.699999999997</v>
      </c>
      <c r="Q188" s="48">
        <v>1975368.4</v>
      </c>
      <c r="R188" s="36">
        <v>10267.1</v>
      </c>
      <c r="S188" s="54">
        <v>81868.5</v>
      </c>
    </row>
    <row r="189" spans="1:19">
      <c r="A189" s="44">
        <v>10309</v>
      </c>
      <c r="B189" s="36">
        <v>1185979.1000000001</v>
      </c>
      <c r="C189" s="48">
        <v>11632661.199999999</v>
      </c>
      <c r="D189" s="36">
        <v>154092.4</v>
      </c>
      <c r="E189" s="48">
        <v>1423362.6</v>
      </c>
      <c r="F189" s="36">
        <v>547164.19999999995</v>
      </c>
      <c r="G189" s="48">
        <v>4382964.5</v>
      </c>
      <c r="H189" s="36">
        <v>165422.70000000001</v>
      </c>
      <c r="I189" s="48">
        <v>941036.4</v>
      </c>
      <c r="J189" s="36">
        <v>133452.20000000001</v>
      </c>
      <c r="K189" s="48">
        <v>1307492.8999999999</v>
      </c>
      <c r="L189" s="36">
        <v>146610.4</v>
      </c>
      <c r="M189" s="48">
        <v>1373641.5</v>
      </c>
      <c r="N189" s="36">
        <v>18100.8</v>
      </c>
      <c r="O189" s="48">
        <v>125790.1</v>
      </c>
      <c r="P189" s="36">
        <v>11000.7</v>
      </c>
      <c r="Q189" s="48">
        <v>1986368.9</v>
      </c>
      <c r="R189" s="36">
        <v>10135.700000000001</v>
      </c>
      <c r="S189" s="54">
        <v>92004.2</v>
      </c>
    </row>
    <row r="190" spans="1:19">
      <c r="A190" s="44">
        <v>10310</v>
      </c>
      <c r="B190" s="36">
        <v>1140175.6000000001</v>
      </c>
      <c r="C190" s="48">
        <v>12772836.800000001</v>
      </c>
      <c r="D190" s="36">
        <v>156659.79999999999</v>
      </c>
      <c r="E190" s="48">
        <v>1580022.4</v>
      </c>
      <c r="F190" s="36">
        <v>389812.2</v>
      </c>
      <c r="G190" s="48">
        <v>4772776.7</v>
      </c>
      <c r="H190" s="36">
        <v>204945.3</v>
      </c>
      <c r="I190" s="48">
        <v>1145981.7</v>
      </c>
      <c r="J190" s="36">
        <v>120305.2</v>
      </c>
      <c r="K190" s="48">
        <v>1427798.1</v>
      </c>
      <c r="L190" s="36">
        <v>189364.1</v>
      </c>
      <c r="M190" s="48">
        <v>1563005.6</v>
      </c>
      <c r="N190" s="36">
        <v>44500.5</v>
      </c>
      <c r="O190" s="48">
        <v>170290.6</v>
      </c>
      <c r="P190" s="36">
        <v>24683.599999999999</v>
      </c>
      <c r="Q190" s="48">
        <v>2011052.6</v>
      </c>
      <c r="R190" s="36">
        <v>9904.9</v>
      </c>
      <c r="S190" s="54">
        <v>101909.1</v>
      </c>
    </row>
    <row r="191" spans="1:19">
      <c r="A191" s="44">
        <v>10311</v>
      </c>
      <c r="B191" s="36">
        <v>1060345.3</v>
      </c>
      <c r="C191" s="48">
        <v>13833182.1</v>
      </c>
      <c r="D191" s="36">
        <v>152530.70000000001</v>
      </c>
      <c r="E191" s="48">
        <v>1732553.1</v>
      </c>
      <c r="F191" s="36">
        <v>374669.3</v>
      </c>
      <c r="G191" s="48">
        <v>5147445.9000000004</v>
      </c>
      <c r="H191" s="36">
        <v>193997.3</v>
      </c>
      <c r="I191" s="48">
        <v>1339979</v>
      </c>
      <c r="J191" s="36">
        <v>130832.2</v>
      </c>
      <c r="K191" s="48">
        <v>1558630.3</v>
      </c>
      <c r="L191" s="36">
        <v>167542.20000000001</v>
      </c>
      <c r="M191" s="48">
        <v>1730547.8</v>
      </c>
      <c r="N191" s="36">
        <v>13661.7</v>
      </c>
      <c r="O191" s="48">
        <v>183952.3</v>
      </c>
      <c r="P191" s="36">
        <v>17075.7</v>
      </c>
      <c r="Q191" s="48">
        <v>2028128.3</v>
      </c>
      <c r="R191" s="36">
        <v>10036.1</v>
      </c>
      <c r="S191" s="54">
        <v>111945.3</v>
      </c>
    </row>
    <row r="192" spans="1:19">
      <c r="A192" s="44">
        <v>10312</v>
      </c>
      <c r="B192" s="36">
        <v>1506812.436</v>
      </c>
      <c r="C192" s="48">
        <v>15339994.526000002</v>
      </c>
      <c r="D192" s="36">
        <v>237827.584</v>
      </c>
      <c r="E192" s="48">
        <v>1970380.7209999999</v>
      </c>
      <c r="F192" s="36">
        <v>144141.09899999999</v>
      </c>
      <c r="G192" s="48">
        <v>5291587.0470000003</v>
      </c>
      <c r="H192" s="36">
        <v>611909.70299999998</v>
      </c>
      <c r="I192" s="48">
        <v>1951888.747</v>
      </c>
      <c r="J192" s="36">
        <v>228389.56</v>
      </c>
      <c r="K192" s="48">
        <v>1787019.878</v>
      </c>
      <c r="L192" s="36">
        <v>206638.67300000001</v>
      </c>
      <c r="M192" s="48">
        <v>1937186.4480000001</v>
      </c>
      <c r="N192" s="36">
        <v>58550.468000000001</v>
      </c>
      <c r="O192" s="48">
        <v>242502.753</v>
      </c>
      <c r="P192" s="36">
        <v>-2630.681</v>
      </c>
      <c r="Q192" s="48">
        <v>1927460.4550000001</v>
      </c>
      <c r="R192" s="36">
        <v>10394.255999999999</v>
      </c>
      <c r="S192" s="54">
        <v>122339.52800000001</v>
      </c>
    </row>
    <row r="193" spans="1:19">
      <c r="A193" s="44">
        <v>10401</v>
      </c>
      <c r="B193" s="36">
        <v>1555733.2209999999</v>
      </c>
      <c r="C193" s="48">
        <v>1555733.2209999999</v>
      </c>
      <c r="D193" s="36">
        <v>72952.425000000003</v>
      </c>
      <c r="E193" s="48">
        <v>72952.425000000003</v>
      </c>
      <c r="F193" s="36">
        <v>592370.76</v>
      </c>
      <c r="G193" s="48">
        <v>592370.76</v>
      </c>
      <c r="H193" s="36">
        <v>14545.182000000001</v>
      </c>
      <c r="I193" s="48">
        <v>14545.182000000001</v>
      </c>
      <c r="J193" s="36">
        <v>89275.331000000006</v>
      </c>
      <c r="K193" s="48">
        <v>89275.331000000006</v>
      </c>
      <c r="L193" s="36">
        <v>114132.129</v>
      </c>
      <c r="M193" s="48">
        <v>114132.129</v>
      </c>
      <c r="N193" s="36">
        <v>2326.5970000000002</v>
      </c>
      <c r="O193" s="48">
        <v>2326.5970000000002</v>
      </c>
      <c r="P193" s="36">
        <v>660076.79599999997</v>
      </c>
      <c r="Q193" s="48">
        <v>660076.79599999997</v>
      </c>
      <c r="R193" s="36">
        <v>9530.8860000000004</v>
      </c>
      <c r="S193" s="54">
        <v>9530.8860000000004</v>
      </c>
    </row>
    <row r="194" spans="1:19">
      <c r="A194" s="44">
        <v>10402</v>
      </c>
      <c r="B194" s="36">
        <v>1411142.86</v>
      </c>
      <c r="C194" s="48">
        <v>2966876.0809999998</v>
      </c>
      <c r="D194" s="36">
        <v>224750.89799999999</v>
      </c>
      <c r="E194" s="48">
        <v>297703.32299999997</v>
      </c>
      <c r="F194" s="36">
        <v>751631.95600000001</v>
      </c>
      <c r="G194" s="48">
        <v>1344002.716</v>
      </c>
      <c r="H194" s="36">
        <v>47280.118000000002</v>
      </c>
      <c r="I194" s="48">
        <v>61825.3</v>
      </c>
      <c r="J194" s="36">
        <v>214196.74100000001</v>
      </c>
      <c r="K194" s="48">
        <v>303472.07199999999</v>
      </c>
      <c r="L194" s="36">
        <v>141480.141</v>
      </c>
      <c r="M194" s="48">
        <v>255612.27</v>
      </c>
      <c r="N194" s="36">
        <v>6786.9459999999999</v>
      </c>
      <c r="O194" s="48">
        <v>9113.5429999999997</v>
      </c>
      <c r="P194" s="36">
        <v>14631.3</v>
      </c>
      <c r="Q194" s="48">
        <v>675231.2</v>
      </c>
      <c r="R194" s="36">
        <v>10384.808000000001</v>
      </c>
      <c r="S194" s="54">
        <v>19915.694</v>
      </c>
    </row>
    <row r="195" spans="1:19">
      <c r="A195" s="44">
        <v>10403</v>
      </c>
      <c r="B195" s="36">
        <v>883934.4310000001</v>
      </c>
      <c r="C195" s="48">
        <v>3850810.5120000001</v>
      </c>
      <c r="D195" s="36">
        <v>130738.057</v>
      </c>
      <c r="E195" s="48">
        <v>428441.38</v>
      </c>
      <c r="F195" s="36">
        <v>393142.94099999999</v>
      </c>
      <c r="G195" s="48">
        <v>1737145.6569999999</v>
      </c>
      <c r="H195" s="36">
        <v>59593.194000000003</v>
      </c>
      <c r="I195" s="48">
        <v>121418.49400000001</v>
      </c>
      <c r="J195" s="36">
        <v>120738.59299999999</v>
      </c>
      <c r="K195" s="48">
        <v>424210.66499999998</v>
      </c>
      <c r="L195" s="36">
        <v>143912.97399999999</v>
      </c>
      <c r="M195" s="48">
        <v>399525.24400000001</v>
      </c>
      <c r="N195" s="36">
        <v>4751.634</v>
      </c>
      <c r="O195" s="48">
        <v>13865.177</v>
      </c>
      <c r="P195" s="36">
        <v>12093.564</v>
      </c>
      <c r="Q195" s="48">
        <v>683497.07700000005</v>
      </c>
      <c r="R195" s="36">
        <v>9338.3289999999997</v>
      </c>
      <c r="S195" s="54">
        <v>29254.023000000001</v>
      </c>
    </row>
    <row r="196" spans="1:19">
      <c r="A196" s="44">
        <v>10404</v>
      </c>
      <c r="B196" s="36">
        <v>1162974.432</v>
      </c>
      <c r="C196" s="48">
        <v>5013784.9440000001</v>
      </c>
      <c r="D196" s="36">
        <v>187525.53099999999</v>
      </c>
      <c r="E196" s="48">
        <v>615966.91099999996</v>
      </c>
      <c r="F196" s="36">
        <v>468556.93400000001</v>
      </c>
      <c r="G196" s="48">
        <v>2205702.591</v>
      </c>
      <c r="H196" s="36">
        <v>45836.760999999999</v>
      </c>
      <c r="I196" s="48">
        <v>167255.255</v>
      </c>
      <c r="J196" s="36">
        <v>239615.76199999999</v>
      </c>
      <c r="K196" s="48">
        <v>663826.42700000003</v>
      </c>
      <c r="L196" s="36">
        <v>166073.976</v>
      </c>
      <c r="M196" s="48">
        <v>565599.22</v>
      </c>
      <c r="N196" s="36">
        <v>15759.688</v>
      </c>
      <c r="O196" s="48">
        <v>29624.865000000002</v>
      </c>
      <c r="P196" s="36">
        <v>29747.200000000001</v>
      </c>
      <c r="Q196" s="48">
        <v>726697.1</v>
      </c>
      <c r="R196" s="36">
        <v>9858.5910000000003</v>
      </c>
      <c r="S196" s="54">
        <v>39112.614000000001</v>
      </c>
    </row>
    <row r="197" spans="1:19">
      <c r="A197" s="44">
        <v>10405</v>
      </c>
      <c r="B197" s="36">
        <v>1589847.6610000001</v>
      </c>
      <c r="C197" s="39">
        <v>6603632.6050000014</v>
      </c>
      <c r="D197" s="36">
        <v>138560.45600000001</v>
      </c>
      <c r="E197" s="39">
        <v>754527.36699999997</v>
      </c>
      <c r="F197" s="36">
        <v>351584.67200000002</v>
      </c>
      <c r="G197" s="39">
        <v>2557287.2629999998</v>
      </c>
      <c r="H197" s="36">
        <v>121890.306</v>
      </c>
      <c r="I197" s="39">
        <v>289145.56099999999</v>
      </c>
      <c r="J197" s="36">
        <v>117268.462</v>
      </c>
      <c r="K197" s="39">
        <v>781094.88899999997</v>
      </c>
      <c r="L197" s="36">
        <v>185432.304</v>
      </c>
      <c r="M197" s="39">
        <v>751031.52399999998</v>
      </c>
      <c r="N197" s="36">
        <v>31932.382000000001</v>
      </c>
      <c r="O197" s="39">
        <v>61557.247000000003</v>
      </c>
      <c r="P197" s="36">
        <v>633478</v>
      </c>
      <c r="Q197" s="39">
        <v>1360175</v>
      </c>
      <c r="R197" s="36">
        <v>9701.0810000000001</v>
      </c>
      <c r="S197" s="56">
        <v>48813.695</v>
      </c>
    </row>
    <row r="198" spans="1:19">
      <c r="A198" s="44">
        <v>10406</v>
      </c>
      <c r="B198" s="36">
        <v>962061.7</v>
      </c>
      <c r="C198" s="39">
        <v>7565694.2999999998</v>
      </c>
      <c r="D198" s="36">
        <v>215586.1</v>
      </c>
      <c r="E198" s="39">
        <v>970113.5</v>
      </c>
      <c r="F198" s="36">
        <v>370881.7</v>
      </c>
      <c r="G198" s="39">
        <v>2928169</v>
      </c>
      <c r="H198" s="36">
        <v>84695.8</v>
      </c>
      <c r="I198" s="39">
        <v>373841.4</v>
      </c>
      <c r="J198" s="36">
        <v>123670.2</v>
      </c>
      <c r="K198" s="39">
        <v>904765</v>
      </c>
      <c r="L198" s="36">
        <v>131658.79999999999</v>
      </c>
      <c r="M198" s="39">
        <v>882690.3</v>
      </c>
      <c r="N198" s="36">
        <v>6565.4</v>
      </c>
      <c r="O198" s="39">
        <v>68122.600000000006</v>
      </c>
      <c r="P198" s="36">
        <v>19237.099999999999</v>
      </c>
      <c r="Q198" s="39">
        <v>1379412.2</v>
      </c>
      <c r="R198" s="36">
        <v>9766.7000000000007</v>
      </c>
      <c r="S198" s="56">
        <v>58580.4</v>
      </c>
    </row>
    <row r="199" spans="1:19">
      <c r="A199" s="44">
        <v>10407</v>
      </c>
      <c r="B199" s="36">
        <v>1531132.6</v>
      </c>
      <c r="C199" s="39">
        <v>9096826.9000000004</v>
      </c>
      <c r="D199" s="36">
        <v>113419.3</v>
      </c>
      <c r="E199" s="39">
        <v>1083532.8</v>
      </c>
      <c r="F199" s="36">
        <v>409084.6</v>
      </c>
      <c r="G199" s="39">
        <v>3337253.5</v>
      </c>
      <c r="H199" s="36">
        <v>58966.9</v>
      </c>
      <c r="I199" s="39">
        <v>432808.3</v>
      </c>
      <c r="J199" s="36">
        <v>121406.7</v>
      </c>
      <c r="K199" s="39">
        <v>1026171.7</v>
      </c>
      <c r="L199" s="36">
        <v>146349.70000000001</v>
      </c>
      <c r="M199" s="39">
        <v>1029040</v>
      </c>
      <c r="N199" s="36">
        <v>8847.9</v>
      </c>
      <c r="O199" s="39">
        <v>76970.5</v>
      </c>
      <c r="P199" s="36">
        <v>663420.6</v>
      </c>
      <c r="Q199" s="39">
        <v>2042832.7</v>
      </c>
      <c r="R199" s="36">
        <v>9636.7999999999993</v>
      </c>
      <c r="S199" s="56">
        <v>68217.2</v>
      </c>
    </row>
    <row r="200" spans="1:19">
      <c r="A200" s="44">
        <v>10408</v>
      </c>
      <c r="B200" s="36">
        <v>1103939.8</v>
      </c>
      <c r="C200" s="39">
        <v>10200766.699999999</v>
      </c>
      <c r="D200" s="36">
        <v>138711.20000000001</v>
      </c>
      <c r="E200" s="39">
        <v>1222244</v>
      </c>
      <c r="F200" s="36">
        <v>444130.5</v>
      </c>
      <c r="G200" s="39">
        <v>3781384</v>
      </c>
      <c r="H200" s="36">
        <v>176764.2</v>
      </c>
      <c r="I200" s="39">
        <v>609572.5</v>
      </c>
      <c r="J200" s="36">
        <v>117019.3</v>
      </c>
      <c r="K200" s="39">
        <v>1143191</v>
      </c>
      <c r="L200" s="36">
        <v>176196.2</v>
      </c>
      <c r="M200" s="39">
        <v>1205236.3</v>
      </c>
      <c r="N200" s="36">
        <v>23470.5</v>
      </c>
      <c r="O200" s="39">
        <v>100441</v>
      </c>
      <c r="P200" s="36">
        <v>17874.7</v>
      </c>
      <c r="Q200" s="39">
        <v>2060707.4</v>
      </c>
      <c r="R200" s="36">
        <v>9773.1</v>
      </c>
      <c r="S200" s="56">
        <v>77990.3</v>
      </c>
    </row>
    <row r="201" spans="1:19">
      <c r="A201" s="44">
        <v>10409</v>
      </c>
      <c r="B201" s="36">
        <v>1200465.2550000001</v>
      </c>
      <c r="C201" s="39">
        <v>11401231.919</v>
      </c>
      <c r="D201" s="36">
        <v>138717.46599999999</v>
      </c>
      <c r="E201" s="39">
        <v>1360961.486</v>
      </c>
      <c r="F201" s="36">
        <v>602067.61399999994</v>
      </c>
      <c r="G201" s="39">
        <v>4383451.608</v>
      </c>
      <c r="H201" s="36">
        <v>156318.73800000001</v>
      </c>
      <c r="I201" s="39">
        <v>765891.27500000002</v>
      </c>
      <c r="J201" s="36">
        <v>127628.64</v>
      </c>
      <c r="K201" s="39">
        <v>1270819.682</v>
      </c>
      <c r="L201" s="36">
        <v>147654.321</v>
      </c>
      <c r="M201" s="39">
        <v>1352890.6</v>
      </c>
      <c r="N201" s="36">
        <v>9579.3829999999998</v>
      </c>
      <c r="O201" s="39">
        <v>110020.375</v>
      </c>
      <c r="P201" s="36">
        <v>8845.9</v>
      </c>
      <c r="Q201" s="39">
        <v>2069553.4</v>
      </c>
      <c r="R201" s="36">
        <v>9653.1830000000009</v>
      </c>
      <c r="S201" s="56">
        <v>87643.485000000001</v>
      </c>
    </row>
    <row r="202" spans="1:19" s="55" customFormat="1">
      <c r="A202" s="44">
        <v>10410</v>
      </c>
      <c r="B202" s="36">
        <f t="shared" ref="B202:C204" si="7">SUM(D202,F202,H202,J202,L202,N202,P202,R202)</f>
        <v>1133413.152</v>
      </c>
      <c r="C202" s="36">
        <f t="shared" si="7"/>
        <v>12534645.062999997</v>
      </c>
      <c r="D202" s="36">
        <v>144561.08300000001</v>
      </c>
      <c r="E202" s="39">
        <v>1505522.5689999999</v>
      </c>
      <c r="F202" s="36">
        <v>399253.68199999997</v>
      </c>
      <c r="G202" s="39">
        <v>4782705.29</v>
      </c>
      <c r="H202" s="36">
        <v>286573.91800000001</v>
      </c>
      <c r="I202" s="39">
        <v>1052465.193</v>
      </c>
      <c r="J202" s="36">
        <v>129966.046</v>
      </c>
      <c r="K202" s="39">
        <v>1400785.7279999999</v>
      </c>
      <c r="L202" s="36">
        <v>164046.42800000001</v>
      </c>
      <c r="M202" s="39">
        <v>1516937.0279999999</v>
      </c>
      <c r="N202" s="36">
        <v>17469.271000000001</v>
      </c>
      <c r="O202" s="39">
        <v>127489.64599999999</v>
      </c>
      <c r="P202" s="36">
        <v>-17535.400000000001</v>
      </c>
      <c r="Q202" s="39">
        <v>2052018</v>
      </c>
      <c r="R202" s="36">
        <v>9078.1239999999998</v>
      </c>
      <c r="S202" s="56">
        <v>96721.608999999997</v>
      </c>
    </row>
    <row r="203" spans="1:19" s="55" customFormat="1">
      <c r="A203" s="44">
        <v>10411</v>
      </c>
      <c r="B203" s="36">
        <f t="shared" si="7"/>
        <v>1080874.5209999999</v>
      </c>
      <c r="C203" s="36">
        <f t="shared" si="7"/>
        <v>13615519.594999997</v>
      </c>
      <c r="D203" s="36">
        <v>182429.37</v>
      </c>
      <c r="E203" s="39">
        <v>1687951.939</v>
      </c>
      <c r="F203" s="36">
        <v>417417.12099999998</v>
      </c>
      <c r="G203" s="39">
        <v>5200122.4110000003</v>
      </c>
      <c r="H203" s="36">
        <v>131672.55499999999</v>
      </c>
      <c r="I203" s="39">
        <v>1184137.7479999999</v>
      </c>
      <c r="J203" s="36">
        <v>120970.692</v>
      </c>
      <c r="K203" s="39">
        <v>1521756.42</v>
      </c>
      <c r="L203" s="36">
        <v>194769.24299999999</v>
      </c>
      <c r="M203" s="39">
        <v>1711706.2709999999</v>
      </c>
      <c r="N203" s="36">
        <v>9035.1239999999998</v>
      </c>
      <c r="O203" s="39">
        <v>136524.76999999999</v>
      </c>
      <c r="P203" s="36">
        <v>15608.825999999999</v>
      </c>
      <c r="Q203" s="39">
        <v>2067626.8370000001</v>
      </c>
      <c r="R203" s="36">
        <v>8971.59</v>
      </c>
      <c r="S203" s="56">
        <v>105693.19899999999</v>
      </c>
    </row>
    <row r="204" spans="1:19">
      <c r="A204" s="44">
        <v>10412</v>
      </c>
      <c r="B204" s="36">
        <f t="shared" si="7"/>
        <v>1486480.1780000001</v>
      </c>
      <c r="C204" s="36">
        <f t="shared" si="7"/>
        <v>15101999.835999999</v>
      </c>
      <c r="D204" s="36">
        <v>278859.07900000003</v>
      </c>
      <c r="E204" s="39">
        <v>1966811.0179999999</v>
      </c>
      <c r="F204" s="36">
        <v>183391.269</v>
      </c>
      <c r="G204" s="39">
        <v>5383513.6799999997</v>
      </c>
      <c r="H204" s="36">
        <v>450832.14500000002</v>
      </c>
      <c r="I204" s="39">
        <v>1634969.8929999999</v>
      </c>
      <c r="J204" s="36">
        <v>212808.59299999999</v>
      </c>
      <c r="K204" s="39">
        <v>1734565.013</v>
      </c>
      <c r="L204" s="36">
        <v>266407.41899999999</v>
      </c>
      <c r="M204" s="39">
        <v>1978113.69</v>
      </c>
      <c r="N204" s="36">
        <v>55359.652999999998</v>
      </c>
      <c r="O204" s="39">
        <v>191884.42300000001</v>
      </c>
      <c r="P204" s="36">
        <v>29973.7</v>
      </c>
      <c r="Q204" s="39">
        <v>2097600.6</v>
      </c>
      <c r="R204" s="36">
        <v>8848.32</v>
      </c>
      <c r="S204" s="56">
        <v>114541.519</v>
      </c>
    </row>
    <row r="205" spans="1:19">
      <c r="A205" s="44">
        <v>10501</v>
      </c>
      <c r="B205" s="36">
        <f t="shared" ref="B205:C207" si="8">SUM(D205,F205,H205,J205,L205,N205,P205,R205)</f>
        <v>2116917.9370000004</v>
      </c>
      <c r="C205" s="36">
        <f t="shared" si="8"/>
        <v>2116917.9370000004</v>
      </c>
      <c r="D205" s="36">
        <v>239341.408</v>
      </c>
      <c r="E205" s="39">
        <v>239341.408</v>
      </c>
      <c r="F205" s="36">
        <v>844220.83299999998</v>
      </c>
      <c r="G205" s="39">
        <v>844220.83299999998</v>
      </c>
      <c r="H205" s="36">
        <v>32818.256000000001</v>
      </c>
      <c r="I205" s="39">
        <v>32818.256000000001</v>
      </c>
      <c r="J205" s="36">
        <v>191748.00200000001</v>
      </c>
      <c r="K205" s="39">
        <v>191748.00200000001</v>
      </c>
      <c r="L205" s="36">
        <v>95252.933000000005</v>
      </c>
      <c r="M205" s="39">
        <v>95252.933000000005</v>
      </c>
      <c r="N205" s="36">
        <v>7036.3320000000003</v>
      </c>
      <c r="O205" s="39">
        <v>7036.3320000000003</v>
      </c>
      <c r="P205" s="36">
        <v>698767.8</v>
      </c>
      <c r="Q205" s="39">
        <v>698767.8</v>
      </c>
      <c r="R205" s="36">
        <v>7732.3729999999996</v>
      </c>
      <c r="S205" s="56">
        <v>7732.3729999999996</v>
      </c>
    </row>
    <row r="206" spans="1:19">
      <c r="A206" s="44">
        <v>10502</v>
      </c>
      <c r="B206" s="36">
        <f t="shared" si="8"/>
        <v>700358.70500000007</v>
      </c>
      <c r="C206" s="36">
        <f t="shared" si="8"/>
        <v>2817276.6419999995</v>
      </c>
      <c r="D206" s="36">
        <v>104693.05899999999</v>
      </c>
      <c r="E206" s="39">
        <v>344034.467</v>
      </c>
      <c r="F206" s="36">
        <v>368845.98599999998</v>
      </c>
      <c r="G206" s="39">
        <v>1213066.8189999999</v>
      </c>
      <c r="H206" s="36">
        <v>25526.749</v>
      </c>
      <c r="I206" s="39">
        <v>58345.004999999997</v>
      </c>
      <c r="J206" s="36">
        <v>109456.97100000001</v>
      </c>
      <c r="K206" s="39">
        <v>301204.973</v>
      </c>
      <c r="L206" s="36">
        <v>70979.885999999999</v>
      </c>
      <c r="M206" s="39">
        <v>166232.81899999999</v>
      </c>
      <c r="N206" s="36">
        <v>5265.2650000000003</v>
      </c>
      <c r="O206" s="39">
        <v>12301.597</v>
      </c>
      <c r="P206" s="36">
        <v>7968</v>
      </c>
      <c r="Q206" s="39">
        <v>706735.8</v>
      </c>
      <c r="R206" s="36">
        <v>7622.7889999999998</v>
      </c>
      <c r="S206" s="56">
        <v>15355.162</v>
      </c>
    </row>
    <row r="207" spans="1:19">
      <c r="A207" s="44">
        <v>10503</v>
      </c>
      <c r="B207" s="36">
        <f t="shared" si="8"/>
        <v>999055.41899999988</v>
      </c>
      <c r="C207" s="36">
        <f t="shared" si="8"/>
        <v>3816332.0610000002</v>
      </c>
      <c r="D207" s="36">
        <v>210552.33600000001</v>
      </c>
      <c r="E207" s="39">
        <v>554586.80299999996</v>
      </c>
      <c r="F207" s="36">
        <v>401567.05699999997</v>
      </c>
      <c r="G207" s="39">
        <v>1614633.8759999999</v>
      </c>
      <c r="H207" s="36">
        <v>47050.249000000003</v>
      </c>
      <c r="I207" s="39">
        <v>105395.254</v>
      </c>
      <c r="J207" s="36">
        <v>121569.37300000001</v>
      </c>
      <c r="K207" s="39">
        <v>422774.34600000002</v>
      </c>
      <c r="L207" s="36">
        <v>94096.88</v>
      </c>
      <c r="M207" s="39">
        <v>260329.69899999999</v>
      </c>
      <c r="N207" s="36">
        <v>5880.6639999999998</v>
      </c>
      <c r="O207" s="39">
        <v>18182.260999999999</v>
      </c>
      <c r="P207" s="36">
        <v>111197.2</v>
      </c>
      <c r="Q207" s="39">
        <v>817933</v>
      </c>
      <c r="R207" s="36">
        <v>7141.66</v>
      </c>
      <c r="S207" s="56">
        <v>22496.822</v>
      </c>
    </row>
    <row r="208" spans="1:19">
      <c r="A208" s="44">
        <v>10504</v>
      </c>
      <c r="B208" s="36">
        <f t="shared" ref="B208:C210" si="9">SUM(D208,F208,H208,J208,L208,N208,P208,R208)</f>
        <v>1023397.8340000001</v>
      </c>
      <c r="C208" s="36">
        <f t="shared" si="9"/>
        <v>4839729.8949999996</v>
      </c>
      <c r="D208" s="36">
        <v>166112.22399999999</v>
      </c>
      <c r="E208" s="39">
        <v>720699.027</v>
      </c>
      <c r="F208" s="36">
        <v>415391.98100000003</v>
      </c>
      <c r="G208" s="39">
        <v>2030025.8570000001</v>
      </c>
      <c r="H208" s="36">
        <v>50464.106</v>
      </c>
      <c r="I208" s="39">
        <v>155859.35999999999</v>
      </c>
      <c r="J208" s="36">
        <v>232547.71400000001</v>
      </c>
      <c r="K208" s="39">
        <v>655322.06000000006</v>
      </c>
      <c r="L208" s="36">
        <v>112068.649</v>
      </c>
      <c r="M208" s="39">
        <v>372398.348</v>
      </c>
      <c r="N208" s="36">
        <v>15242.206</v>
      </c>
      <c r="O208" s="39">
        <v>33424.466999999997</v>
      </c>
      <c r="P208" s="36">
        <v>24706.6</v>
      </c>
      <c r="Q208" s="39">
        <v>842639.6</v>
      </c>
      <c r="R208" s="36">
        <v>6864.3540000000003</v>
      </c>
      <c r="S208" s="56">
        <v>29361.175999999999</v>
      </c>
    </row>
    <row r="209" spans="1:20">
      <c r="A209" s="44">
        <v>10505</v>
      </c>
      <c r="B209" s="36">
        <f t="shared" si="9"/>
        <v>1640940.9790000001</v>
      </c>
      <c r="C209" s="36">
        <f t="shared" si="9"/>
        <v>6480670.8739999989</v>
      </c>
      <c r="D209" s="36">
        <v>124339.012</v>
      </c>
      <c r="E209" s="39">
        <v>845038.03899999999</v>
      </c>
      <c r="F209" s="36">
        <v>452479.77600000001</v>
      </c>
      <c r="G209" s="39">
        <v>2482505.6329999999</v>
      </c>
      <c r="H209" s="36">
        <v>66124.875</v>
      </c>
      <c r="I209" s="39">
        <v>221984.23499999999</v>
      </c>
      <c r="J209" s="36">
        <v>127255.194</v>
      </c>
      <c r="K209" s="39">
        <v>782577.25399999996</v>
      </c>
      <c r="L209" s="36">
        <v>153075.80900000001</v>
      </c>
      <c r="M209" s="39">
        <v>525474.15700000001</v>
      </c>
      <c r="N209" s="36">
        <v>37357.500999999997</v>
      </c>
      <c r="O209" s="39">
        <v>70781.967999999993</v>
      </c>
      <c r="P209" s="36">
        <v>673828.7</v>
      </c>
      <c r="Q209" s="39">
        <v>1516468.3</v>
      </c>
      <c r="R209" s="36">
        <v>6480.1120000000001</v>
      </c>
      <c r="S209" s="56">
        <v>35841.288</v>
      </c>
    </row>
    <row r="210" spans="1:20" s="55" customFormat="1">
      <c r="A210" s="44">
        <v>10506</v>
      </c>
      <c r="B210" s="36">
        <f t="shared" si="9"/>
        <v>984382.625</v>
      </c>
      <c r="C210" s="36">
        <f t="shared" si="9"/>
        <v>7465053.4629999995</v>
      </c>
      <c r="D210" s="36">
        <v>217522.04</v>
      </c>
      <c r="E210" s="39">
        <v>1062560.0789999999</v>
      </c>
      <c r="F210" s="36">
        <v>360098.12900000002</v>
      </c>
      <c r="G210" s="39">
        <v>2842603.7620000001</v>
      </c>
      <c r="H210" s="36">
        <v>101251.861</v>
      </c>
      <c r="I210" s="39">
        <v>323236.09600000002</v>
      </c>
      <c r="J210" s="36">
        <v>120741.55899999999</v>
      </c>
      <c r="K210" s="39">
        <v>903318.81299999997</v>
      </c>
      <c r="L210" s="36">
        <v>158112.41899999999</v>
      </c>
      <c r="M210" s="39">
        <v>683586.576</v>
      </c>
      <c r="N210" s="36">
        <v>10112.919</v>
      </c>
      <c r="O210" s="39">
        <v>80894.887000000002</v>
      </c>
      <c r="P210" s="36">
        <v>9954.7160000000003</v>
      </c>
      <c r="Q210" s="39">
        <v>1526422.98</v>
      </c>
      <c r="R210" s="36">
        <v>6588.982</v>
      </c>
      <c r="S210" s="56">
        <v>42430.27</v>
      </c>
    </row>
    <row r="211" spans="1:20" s="55" customFormat="1">
      <c r="A211" s="44">
        <v>10507</v>
      </c>
      <c r="B211" s="36">
        <f t="shared" ref="B211:C213" si="10">SUM(D211,F211,H211,J211,L211,N211,P211,R211)</f>
        <v>1518086.6270000001</v>
      </c>
      <c r="C211" s="36">
        <f t="shared" si="10"/>
        <v>8983140.0099999998</v>
      </c>
      <c r="D211" s="36">
        <v>134558.73800000001</v>
      </c>
      <c r="E211" s="39">
        <v>1197118.817</v>
      </c>
      <c r="F211" s="36">
        <v>375019.23800000001</v>
      </c>
      <c r="G211" s="39">
        <v>3217623</v>
      </c>
      <c r="H211" s="36">
        <v>65673.368000000002</v>
      </c>
      <c r="I211" s="39">
        <v>388909.46399999998</v>
      </c>
      <c r="J211" s="36">
        <v>117124.845</v>
      </c>
      <c r="K211" s="39">
        <v>1020443.6580000001</v>
      </c>
      <c r="L211" s="36">
        <v>140656.951</v>
      </c>
      <c r="M211" s="39">
        <v>824243.527</v>
      </c>
      <c r="N211" s="36">
        <v>12150.290999999999</v>
      </c>
      <c r="O211" s="39">
        <v>93045.178</v>
      </c>
      <c r="P211" s="36">
        <v>666678.19999999995</v>
      </c>
      <c r="Q211" s="39">
        <v>2193101.1</v>
      </c>
      <c r="R211" s="36">
        <v>6224.9960000000001</v>
      </c>
      <c r="S211" s="56">
        <v>48655.266000000003</v>
      </c>
    </row>
    <row r="212" spans="1:20" s="55" customFormat="1">
      <c r="A212" s="44">
        <v>10508</v>
      </c>
      <c r="B212" s="36">
        <f t="shared" si="10"/>
        <v>1048519.5260000002</v>
      </c>
      <c r="C212" s="36">
        <f t="shared" si="10"/>
        <v>10031659.636</v>
      </c>
      <c r="D212" s="36">
        <v>126743.007</v>
      </c>
      <c r="E212" s="39">
        <v>1323861.824</v>
      </c>
      <c r="F212" s="36">
        <v>380364.91700000002</v>
      </c>
      <c r="G212" s="39">
        <v>3597987.9169999999</v>
      </c>
      <c r="H212" s="36">
        <v>273644.97399999999</v>
      </c>
      <c r="I212" s="39">
        <v>662554.43799999997</v>
      </c>
      <c r="J212" s="36">
        <v>134461.103</v>
      </c>
      <c r="K212" s="39">
        <v>1154904.7609999999</v>
      </c>
      <c r="L212" s="36">
        <v>176101.14600000001</v>
      </c>
      <c r="M212" s="39">
        <v>1000344.673</v>
      </c>
      <c r="N212" s="36">
        <v>13936.617</v>
      </c>
      <c r="O212" s="39">
        <v>106981.795</v>
      </c>
      <c r="P212" s="36">
        <v>-62735.4</v>
      </c>
      <c r="Q212" s="39">
        <v>2130365.7999999998</v>
      </c>
      <c r="R212" s="36">
        <v>6003.1620000000003</v>
      </c>
      <c r="S212" s="56">
        <v>54658.428</v>
      </c>
    </row>
    <row r="213" spans="1:20" s="55" customFormat="1">
      <c r="A213" s="44">
        <v>10509</v>
      </c>
      <c r="B213" s="36">
        <f t="shared" si="10"/>
        <v>1216170.5859999999</v>
      </c>
      <c r="C213" s="36">
        <f t="shared" si="10"/>
        <v>11247830.202</v>
      </c>
      <c r="D213" s="36">
        <v>143674.587</v>
      </c>
      <c r="E213" s="39">
        <v>1467536.4110000001</v>
      </c>
      <c r="F213" s="36">
        <v>592804.11100000003</v>
      </c>
      <c r="G213" s="39">
        <v>4190792.0279999999</v>
      </c>
      <c r="H213" s="36">
        <v>183107.91699999999</v>
      </c>
      <c r="I213" s="39">
        <v>845662.35499999998</v>
      </c>
      <c r="J213" s="36">
        <v>120240.76</v>
      </c>
      <c r="K213" s="39">
        <v>1275145.5209999999</v>
      </c>
      <c r="L213" s="36">
        <v>145179.96599999999</v>
      </c>
      <c r="M213" s="39">
        <v>1145524.639</v>
      </c>
      <c r="N213" s="36">
        <v>16064.339</v>
      </c>
      <c r="O213" s="39">
        <v>123046.13400000001</v>
      </c>
      <c r="P213" s="36">
        <v>9165.6280000000006</v>
      </c>
      <c r="Q213" s="39">
        <v>2139531.4079999998</v>
      </c>
      <c r="R213" s="36">
        <v>5933.2780000000002</v>
      </c>
      <c r="S213" s="56">
        <v>60591.705999999998</v>
      </c>
    </row>
    <row r="214" spans="1:20">
      <c r="A214" s="44">
        <v>10510</v>
      </c>
      <c r="B214" s="36">
        <f>SUM(D214,F214,H214,J214,L214,N214,P214,R214)</f>
        <v>1080010.4849999999</v>
      </c>
      <c r="C214" s="36">
        <f>SUM(E214,G214,I214,K214,M214,O214,Q214,S214)</f>
        <v>12327840.687000001</v>
      </c>
      <c r="D214" s="36">
        <v>151820.443</v>
      </c>
      <c r="E214" s="39">
        <v>1619356.8540000001</v>
      </c>
      <c r="F214" s="36">
        <v>408330.26199999999</v>
      </c>
      <c r="G214" s="39">
        <v>4599122.29</v>
      </c>
      <c r="H214" s="36">
        <v>175618.057</v>
      </c>
      <c r="I214" s="39">
        <v>1021280.412</v>
      </c>
      <c r="J214" s="36">
        <v>115183.408</v>
      </c>
      <c r="K214" s="39">
        <v>1390328.929</v>
      </c>
      <c r="L214" s="36">
        <v>176163.628</v>
      </c>
      <c r="M214" s="39">
        <v>1321688.267</v>
      </c>
      <c r="N214" s="36">
        <v>18386.937999999998</v>
      </c>
      <c r="O214" s="39">
        <v>141433.07199999999</v>
      </c>
      <c r="P214" s="36">
        <v>28843.599999999999</v>
      </c>
      <c r="Q214" s="39">
        <v>2168375.0079999999</v>
      </c>
      <c r="R214" s="36">
        <v>5664.1490000000003</v>
      </c>
      <c r="S214" s="56">
        <v>66255.854999999996</v>
      </c>
    </row>
    <row r="215" spans="1:20">
      <c r="A215" s="44">
        <v>10511</v>
      </c>
      <c r="B215" s="36">
        <v>1168894.9110000001</v>
      </c>
      <c r="C215" s="36">
        <v>13496735.597999999</v>
      </c>
      <c r="D215" s="36">
        <v>187568.62700000001</v>
      </c>
      <c r="E215" s="39">
        <v>1806925.4809999999</v>
      </c>
      <c r="F215" s="36">
        <v>444790.65700000001</v>
      </c>
      <c r="G215" s="39">
        <v>5043912.9469999997</v>
      </c>
      <c r="H215" s="36">
        <v>139346.204</v>
      </c>
      <c r="I215" s="39">
        <v>1160626.6159999999</v>
      </c>
      <c r="J215" s="36">
        <v>131521.27299999999</v>
      </c>
      <c r="K215" s="39">
        <v>1521850.202</v>
      </c>
      <c r="L215" s="36">
        <v>224313.092</v>
      </c>
      <c r="M215" s="39">
        <v>1546001.3589999999</v>
      </c>
      <c r="N215" s="36">
        <v>16726.608</v>
      </c>
      <c r="O215" s="39">
        <v>158159.67999999999</v>
      </c>
      <c r="P215" s="36">
        <v>7502.1509999999998</v>
      </c>
      <c r="Q215" s="39">
        <v>2102942.1519999998</v>
      </c>
      <c r="R215" s="36">
        <v>5773.2960000000003</v>
      </c>
      <c r="S215" s="56">
        <v>72029.150999999998</v>
      </c>
    </row>
    <row r="216" spans="1:20">
      <c r="A216" s="44">
        <v>10512</v>
      </c>
      <c r="B216" s="36">
        <v>1649348.1670000001</v>
      </c>
      <c r="C216" s="36">
        <v>15146083.765000002</v>
      </c>
      <c r="D216" s="36">
        <v>312322.50599999999</v>
      </c>
      <c r="E216" s="39">
        <v>2119247.9870000002</v>
      </c>
      <c r="F216" s="36">
        <v>100866.662</v>
      </c>
      <c r="G216" s="39">
        <v>5144779.6090000002</v>
      </c>
      <c r="H216" s="36">
        <v>618862.38699999999</v>
      </c>
      <c r="I216" s="39">
        <v>1779489.003</v>
      </c>
      <c r="J216" s="36">
        <v>186437.614</v>
      </c>
      <c r="K216" s="39">
        <v>1708287.8160000001</v>
      </c>
      <c r="L216" s="36">
        <v>285014.31400000001</v>
      </c>
      <c r="M216" s="39">
        <v>1831015.673</v>
      </c>
      <c r="N216" s="36">
        <v>103924.16099999999</v>
      </c>
      <c r="O216" s="39">
        <v>262083.84099999999</v>
      </c>
      <c r="P216" s="36">
        <v>36193.5</v>
      </c>
      <c r="Q216" s="39">
        <v>2223423.7000000002</v>
      </c>
      <c r="R216" s="36">
        <v>5726.9759999999997</v>
      </c>
      <c r="S216" s="56">
        <v>77756.126999999993</v>
      </c>
      <c r="T216" s="55"/>
    </row>
    <row r="217" spans="1:20">
      <c r="A217" s="44">
        <v>10601</v>
      </c>
      <c r="B217" s="36">
        <v>2052342.2490000001</v>
      </c>
      <c r="C217" s="36">
        <v>2052342.2490000001</v>
      </c>
      <c r="D217" s="36">
        <v>221577.07500000001</v>
      </c>
      <c r="E217" s="39">
        <v>221577.07500000001</v>
      </c>
      <c r="F217" s="36">
        <v>823649.76199999999</v>
      </c>
      <c r="G217" s="39">
        <v>823649.76199999999</v>
      </c>
      <c r="H217" s="36">
        <v>15287.768</v>
      </c>
      <c r="I217" s="39">
        <v>15287.768</v>
      </c>
      <c r="J217" s="36">
        <v>221276.5</v>
      </c>
      <c r="K217" s="39">
        <v>221276.5</v>
      </c>
      <c r="L217" s="36">
        <v>91263.789000000004</v>
      </c>
      <c r="M217" s="39">
        <v>91263.789000000004</v>
      </c>
      <c r="N217" s="36">
        <v>8129.7759999999998</v>
      </c>
      <c r="O217" s="39">
        <v>8129.7759999999998</v>
      </c>
      <c r="P217" s="36">
        <v>665750.30000000005</v>
      </c>
      <c r="Q217" s="39">
        <v>665750.30000000005</v>
      </c>
      <c r="R217" s="36">
        <v>5407.3280000000004</v>
      </c>
      <c r="S217" s="56">
        <v>5407.3280000000004</v>
      </c>
      <c r="T217" s="55"/>
    </row>
    <row r="218" spans="1:20">
      <c r="A218" s="44">
        <v>10602</v>
      </c>
      <c r="B218" s="36">
        <v>645859.41099999996</v>
      </c>
      <c r="C218" s="36">
        <v>2698201.66</v>
      </c>
      <c r="D218" s="36">
        <v>106938.216</v>
      </c>
      <c r="E218" s="39">
        <v>328515.29100000003</v>
      </c>
      <c r="F218" s="36">
        <v>315591.99900000001</v>
      </c>
      <c r="G218" s="39">
        <v>1139241.7609999999</v>
      </c>
      <c r="H218" s="36">
        <v>26085.348000000002</v>
      </c>
      <c r="I218" s="39">
        <v>41373.116000000002</v>
      </c>
      <c r="J218" s="36">
        <v>112899.63099999999</v>
      </c>
      <c r="K218" s="39">
        <v>334176.13099999999</v>
      </c>
      <c r="L218" s="36">
        <v>64077.754000000001</v>
      </c>
      <c r="M218" s="39">
        <v>155341.54300000001</v>
      </c>
      <c r="N218" s="36">
        <v>5273.0929999999998</v>
      </c>
      <c r="O218" s="39">
        <v>13402.869000000001</v>
      </c>
      <c r="P218" s="36">
        <v>9425.7000000000007</v>
      </c>
      <c r="Q218" s="39">
        <v>675176</v>
      </c>
      <c r="R218" s="36">
        <v>5567.6360000000004</v>
      </c>
      <c r="S218" s="56">
        <v>10974.964</v>
      </c>
      <c r="T218" s="55"/>
    </row>
    <row r="219" spans="1:20">
      <c r="A219" s="44">
        <v>10603</v>
      </c>
      <c r="B219" s="36">
        <v>807829.24600000004</v>
      </c>
      <c r="C219" s="36">
        <v>3506030.906</v>
      </c>
      <c r="D219" s="36">
        <v>148030.73699999999</v>
      </c>
      <c r="E219" s="39">
        <v>476546.02799999999</v>
      </c>
      <c r="F219" s="36">
        <v>353738.27399999998</v>
      </c>
      <c r="G219" s="39">
        <v>1492980.0349999999</v>
      </c>
      <c r="H219" s="36">
        <v>46680.665000000001</v>
      </c>
      <c r="I219" s="39">
        <v>88053.781000000003</v>
      </c>
      <c r="J219" s="36">
        <v>117344.723</v>
      </c>
      <c r="K219" s="39">
        <v>451520.85399999999</v>
      </c>
      <c r="L219" s="36">
        <v>78712.231</v>
      </c>
      <c r="M219" s="39">
        <v>234053.774</v>
      </c>
      <c r="N219" s="36">
        <v>11281.507</v>
      </c>
      <c r="O219" s="39">
        <v>24684.376</v>
      </c>
      <c r="P219" s="36">
        <v>46331.6</v>
      </c>
      <c r="Q219" s="39">
        <v>721507.6</v>
      </c>
      <c r="R219" s="36">
        <v>5709.4620000000004</v>
      </c>
      <c r="S219" s="56">
        <v>16684.425999999999</v>
      </c>
      <c r="T219" s="55"/>
    </row>
    <row r="220" spans="1:20">
      <c r="A220" s="44">
        <v>10604</v>
      </c>
      <c r="B220" s="36">
        <v>1120798.0610000002</v>
      </c>
      <c r="C220" s="36">
        <v>4626828.9670000002</v>
      </c>
      <c r="D220" s="36">
        <v>194021.625</v>
      </c>
      <c r="E220" s="39">
        <v>670567.65300000005</v>
      </c>
      <c r="F220" s="36">
        <v>469039.59899999999</v>
      </c>
      <c r="G220" s="39">
        <v>1962019.6340000001</v>
      </c>
      <c r="H220" s="36">
        <v>59083.580999999998</v>
      </c>
      <c r="I220" s="39">
        <v>147137.36199999999</v>
      </c>
      <c r="J220" s="36">
        <v>239491.55900000001</v>
      </c>
      <c r="K220" s="39">
        <v>691012.41299999994</v>
      </c>
      <c r="L220" s="36">
        <v>122531.336</v>
      </c>
      <c r="M220" s="39">
        <v>356585.11</v>
      </c>
      <c r="N220" s="36">
        <v>10305.178</v>
      </c>
      <c r="O220" s="39">
        <v>34989.553999999996</v>
      </c>
      <c r="P220" s="36">
        <v>21494.5</v>
      </c>
      <c r="Q220" s="39">
        <v>743002.1</v>
      </c>
      <c r="R220" s="36">
        <v>4830.7049999999999</v>
      </c>
      <c r="S220" s="56">
        <v>21515.131000000001</v>
      </c>
      <c r="T220" s="55"/>
    </row>
    <row r="221" spans="1:20">
      <c r="A221" s="44">
        <v>10605</v>
      </c>
      <c r="B221" s="36">
        <v>1485373.8820000002</v>
      </c>
      <c r="C221" s="36">
        <v>6112202.8490000004</v>
      </c>
      <c r="D221" s="36">
        <v>153365.304</v>
      </c>
      <c r="E221" s="39">
        <v>823932.95700000005</v>
      </c>
      <c r="F221" s="36">
        <v>395926.49900000001</v>
      </c>
      <c r="G221" s="39">
        <v>2357946.1329999999</v>
      </c>
      <c r="H221" s="36">
        <v>43791.644999999997</v>
      </c>
      <c r="I221" s="39">
        <v>190929.00700000001</v>
      </c>
      <c r="J221" s="36">
        <v>122324.829</v>
      </c>
      <c r="K221" s="39">
        <v>813337.24199999997</v>
      </c>
      <c r="L221" s="36">
        <v>121302.576</v>
      </c>
      <c r="M221" s="39">
        <v>477887.68599999999</v>
      </c>
      <c r="N221" s="36">
        <v>13915.993</v>
      </c>
      <c r="O221" s="39">
        <v>48905.546999999999</v>
      </c>
      <c r="P221" s="36">
        <v>629417.9</v>
      </c>
      <c r="Q221" s="39">
        <v>1372420.1</v>
      </c>
      <c r="R221" s="36">
        <v>5329.0959999999995</v>
      </c>
      <c r="S221" s="56">
        <v>26844.226999999999</v>
      </c>
      <c r="T221" s="55"/>
    </row>
    <row r="222" spans="1:20">
      <c r="A222" s="44">
        <v>10606</v>
      </c>
      <c r="B222" s="36">
        <v>1113271.264</v>
      </c>
      <c r="C222" s="36">
        <v>7225474.112999999</v>
      </c>
      <c r="D222" s="36">
        <v>216468.576</v>
      </c>
      <c r="E222" s="39">
        <v>1040401.5330000001</v>
      </c>
      <c r="F222" s="36">
        <v>311475.39600000001</v>
      </c>
      <c r="G222" s="39">
        <v>2669421.5290000001</v>
      </c>
      <c r="H222" s="36">
        <v>223094.28200000001</v>
      </c>
      <c r="I222" s="39">
        <v>414023.28899999999</v>
      </c>
      <c r="J222" s="36">
        <v>130424.417</v>
      </c>
      <c r="K222" s="39">
        <v>943761.65899999999</v>
      </c>
      <c r="L222" s="36">
        <v>180457.035</v>
      </c>
      <c r="M222" s="39">
        <v>658344.72100000002</v>
      </c>
      <c r="N222" s="36">
        <v>37051.266000000003</v>
      </c>
      <c r="O222" s="39">
        <v>85956.812999999995</v>
      </c>
      <c r="P222" s="36">
        <f>5289.244+3565.5</f>
        <v>8854.7439999999988</v>
      </c>
      <c r="Q222" s="39">
        <f>1340157.078+41117.7</f>
        <v>1381274.7779999999</v>
      </c>
      <c r="R222" s="36">
        <v>5445.5429999999997</v>
      </c>
      <c r="S222" s="56">
        <v>32289.77</v>
      </c>
    </row>
    <row r="223" spans="1:20">
      <c r="A223" s="44">
        <v>10607</v>
      </c>
      <c r="B223" s="36">
        <v>1669596.56</v>
      </c>
      <c r="C223" s="36">
        <v>8895070.6730000023</v>
      </c>
      <c r="D223" s="36">
        <v>149840.92499999999</v>
      </c>
      <c r="E223" s="39">
        <v>1190242.4580000001</v>
      </c>
      <c r="F223" s="36">
        <v>408104.22499999998</v>
      </c>
      <c r="G223" s="39">
        <v>3077525.7540000002</v>
      </c>
      <c r="H223" s="36">
        <v>88156.331000000006</v>
      </c>
      <c r="I223" s="39">
        <v>502179.62</v>
      </c>
      <c r="J223" s="36">
        <v>130445.476</v>
      </c>
      <c r="K223" s="39">
        <v>1074207.135</v>
      </c>
      <c r="L223" s="36">
        <v>188744.61600000001</v>
      </c>
      <c r="M223" s="39">
        <v>847089.33700000006</v>
      </c>
      <c r="N223" s="36">
        <v>18622.776000000002</v>
      </c>
      <c r="O223" s="39">
        <v>104579.58900000001</v>
      </c>
      <c r="P223" s="36">
        <f>676384.024+4162.3</f>
        <v>680546.32400000002</v>
      </c>
      <c r="Q223" s="39">
        <f>2016541.102+45280.1</f>
        <v>2061821.202</v>
      </c>
      <c r="R223" s="36">
        <v>5135.8469999999998</v>
      </c>
      <c r="S223" s="56">
        <v>37425.616999999998</v>
      </c>
    </row>
    <row r="224" spans="1:20">
      <c r="A224" s="44">
        <v>10608</v>
      </c>
      <c r="B224" s="36">
        <v>1063131.567</v>
      </c>
      <c r="C224" s="36">
        <v>9958202.2400000002</v>
      </c>
      <c r="D224" s="36">
        <v>161415.37100000001</v>
      </c>
      <c r="E224" s="39">
        <v>1351657.8289999999</v>
      </c>
      <c r="F224" s="36">
        <v>368728.12400000001</v>
      </c>
      <c r="G224" s="39">
        <v>3446253.878</v>
      </c>
      <c r="H224" s="36">
        <v>132676.63</v>
      </c>
      <c r="I224" s="39">
        <v>634856.25</v>
      </c>
      <c r="J224" s="36">
        <v>133110.899</v>
      </c>
      <c r="K224" s="39">
        <v>1207318.034</v>
      </c>
      <c r="L224" s="36">
        <v>171888.82699999999</v>
      </c>
      <c r="M224" s="39">
        <v>1018978.164</v>
      </c>
      <c r="N224" s="36">
        <v>42451.283000000003</v>
      </c>
      <c r="O224" s="39">
        <v>147030.872</v>
      </c>
      <c r="P224" s="36">
        <v>47608.731</v>
      </c>
      <c r="Q224" s="39">
        <v>2109429.8939999999</v>
      </c>
      <c r="R224" s="36">
        <v>5251.7020000000002</v>
      </c>
      <c r="S224" s="56">
        <v>42677.319000000003</v>
      </c>
    </row>
    <row r="225" spans="1:19">
      <c r="A225" s="44">
        <v>10609</v>
      </c>
      <c r="B225" s="36">
        <v>1317037.9589999998</v>
      </c>
      <c r="C225" s="36">
        <v>11275240.199000001</v>
      </c>
      <c r="D225" s="36">
        <v>193455.36799999999</v>
      </c>
      <c r="E225" s="39">
        <v>1545113.1969999999</v>
      </c>
      <c r="F225" s="36">
        <v>608976.28799999994</v>
      </c>
      <c r="G225" s="39">
        <v>4055230.1660000002</v>
      </c>
      <c r="H225" s="36">
        <v>194318.323</v>
      </c>
      <c r="I225" s="39">
        <v>829174.57299999997</v>
      </c>
      <c r="J225" s="36">
        <v>128767.141</v>
      </c>
      <c r="K225" s="39">
        <v>1336085.175</v>
      </c>
      <c r="L225" s="36">
        <v>152568.704</v>
      </c>
      <c r="M225" s="39">
        <v>1171546.868</v>
      </c>
      <c r="N225" s="36">
        <v>13267.694</v>
      </c>
      <c r="O225" s="39">
        <v>160298.56599999999</v>
      </c>
      <c r="P225" s="36">
        <f>3690.031+16734.2</f>
        <v>20424.231</v>
      </c>
      <c r="Q225" s="39">
        <f>2065755.866+64098.3</f>
        <v>2129854.1659999997</v>
      </c>
      <c r="R225" s="36">
        <v>5260.1949999999997</v>
      </c>
      <c r="S225" s="56">
        <v>47937.514000000003</v>
      </c>
    </row>
    <row r="226" spans="1:19">
      <c r="A226" s="44">
        <v>10610</v>
      </c>
      <c r="B226" s="36">
        <v>1197058.1130000001</v>
      </c>
      <c r="C226" s="36">
        <v>12472298.312000001</v>
      </c>
      <c r="D226" s="36">
        <v>232131.74900000001</v>
      </c>
      <c r="E226" s="39">
        <v>1777244.946</v>
      </c>
      <c r="F226" s="36">
        <v>357961.47</v>
      </c>
      <c r="G226" s="39">
        <v>4413191.6359999999</v>
      </c>
      <c r="H226" s="36">
        <v>183726.98499999999</v>
      </c>
      <c r="I226" s="39">
        <v>1012901.558</v>
      </c>
      <c r="J226" s="36">
        <v>123068.986</v>
      </c>
      <c r="K226" s="39">
        <v>1459154.1610000001</v>
      </c>
      <c r="L226" s="36">
        <v>196438.92199999999</v>
      </c>
      <c r="M226" s="39">
        <v>1367985.79</v>
      </c>
      <c r="N226" s="36">
        <v>68825.804999999993</v>
      </c>
      <c r="O226" s="39">
        <v>229124.37100000001</v>
      </c>
      <c r="P226" s="36">
        <f>3921.107+25862.2</f>
        <v>29783.307000000001</v>
      </c>
      <c r="Q226" s="39">
        <f>2069676.973+89960.5</f>
        <v>2159637.4730000002</v>
      </c>
      <c r="R226" s="36">
        <v>5120.8879999999999</v>
      </c>
      <c r="S226" s="56">
        <v>53058.402000000002</v>
      </c>
    </row>
    <row r="227" spans="1:19">
      <c r="A227" s="44">
        <v>10611</v>
      </c>
      <c r="B227" s="36">
        <v>1244608.699</v>
      </c>
      <c r="C227" s="36">
        <v>13716907.011</v>
      </c>
      <c r="D227" s="36">
        <v>192731.087</v>
      </c>
      <c r="E227" s="39">
        <v>1969976.0330000001</v>
      </c>
      <c r="F227" s="36">
        <v>441845.641</v>
      </c>
      <c r="G227" s="39">
        <v>4855037.2769999998</v>
      </c>
      <c r="H227" s="36">
        <v>234913.26300000001</v>
      </c>
      <c r="I227" s="39">
        <v>1247814.821</v>
      </c>
      <c r="J227" s="36">
        <v>122691.834</v>
      </c>
      <c r="K227" s="39">
        <v>1581845.9950000001</v>
      </c>
      <c r="L227" s="36">
        <v>203520.45199999999</v>
      </c>
      <c r="M227" s="39">
        <v>1571506.2420000001</v>
      </c>
      <c r="N227" s="36">
        <v>11824.152</v>
      </c>
      <c r="O227" s="39">
        <v>240948.52299999999</v>
      </c>
      <c r="P227" s="36">
        <f>2295.43+29530.012</f>
        <v>31825.441999999999</v>
      </c>
      <c r="Q227" s="39">
        <f>2071972.403+119490.487</f>
        <v>2191462.89</v>
      </c>
      <c r="R227" s="36">
        <v>5256.8280000000004</v>
      </c>
      <c r="S227" s="56">
        <v>58315.23</v>
      </c>
    </row>
    <row r="228" spans="1:19" s="55" customFormat="1">
      <c r="A228" s="44">
        <v>10612</v>
      </c>
      <c r="B228" s="36">
        <v>2226877.1180000002</v>
      </c>
      <c r="C228" s="36">
        <v>15943784.129000001</v>
      </c>
      <c r="D228" s="36">
        <v>381913.75</v>
      </c>
      <c r="E228" s="39">
        <v>2351889.7829999998</v>
      </c>
      <c r="F228" s="36">
        <v>337371.09399999998</v>
      </c>
      <c r="G228" s="39">
        <v>5192408.3710000003</v>
      </c>
      <c r="H228" s="36">
        <v>543701.31400000001</v>
      </c>
      <c r="I228" s="39">
        <v>1791516.135</v>
      </c>
      <c r="J228" s="36">
        <v>190976.03200000001</v>
      </c>
      <c r="K228" s="39">
        <v>1772822.027</v>
      </c>
      <c r="L228" s="36">
        <v>622295.84900000005</v>
      </c>
      <c r="M228" s="39">
        <v>2193802.091</v>
      </c>
      <c r="N228" s="36">
        <v>66888.81</v>
      </c>
      <c r="O228" s="39">
        <v>307837.33299999998</v>
      </c>
      <c r="P228" s="36">
        <f>7750.455+70337.46</f>
        <v>78087.915000000008</v>
      </c>
      <c r="Q228" s="39">
        <f>2079722.858+189827.951</f>
        <v>2269550.8089999999</v>
      </c>
      <c r="R228" s="36">
        <v>5642.35</v>
      </c>
      <c r="S228" s="56">
        <v>63957.58</v>
      </c>
    </row>
    <row r="229" spans="1:19" s="55" customFormat="1">
      <c r="A229" s="44">
        <v>10701</v>
      </c>
      <c r="B229" s="36">
        <v>1880016.2039999999</v>
      </c>
      <c r="C229" s="36">
        <v>1880016.2039999999</v>
      </c>
      <c r="D229" s="36">
        <v>114272.485</v>
      </c>
      <c r="E229" s="39">
        <v>114272.485</v>
      </c>
      <c r="F229" s="36">
        <v>1192007.791</v>
      </c>
      <c r="G229" s="39">
        <v>1192007.791</v>
      </c>
      <c r="H229" s="36">
        <v>16339.159</v>
      </c>
      <c r="I229" s="39">
        <v>16339.159</v>
      </c>
      <c r="J229" s="36">
        <v>90738.188999999998</v>
      </c>
      <c r="K229" s="39">
        <v>90738.188999999998</v>
      </c>
      <c r="L229" s="36">
        <v>124838.909</v>
      </c>
      <c r="M229" s="39">
        <v>124838.909</v>
      </c>
      <c r="N229" s="36">
        <v>3081.788</v>
      </c>
      <c r="O229" s="39">
        <v>3081.788</v>
      </c>
      <c r="P229" s="36">
        <f>333265.402+437.6</f>
        <v>333703.00199999998</v>
      </c>
      <c r="Q229" s="39">
        <f>333265.402+437.6</f>
        <v>333703.00199999998</v>
      </c>
      <c r="R229" s="36">
        <v>5034.8959999999997</v>
      </c>
      <c r="S229" s="56">
        <v>5034.8959999999997</v>
      </c>
    </row>
    <row r="230" spans="1:19">
      <c r="A230" s="44">
        <v>10702</v>
      </c>
      <c r="B230" s="36">
        <v>1211369.1670000001</v>
      </c>
      <c r="C230" s="36">
        <v>3091385.3709999998</v>
      </c>
      <c r="D230" s="36">
        <v>228876.50899999999</v>
      </c>
      <c r="E230" s="39">
        <v>343148.99400000001</v>
      </c>
      <c r="F230" s="36">
        <v>428093.20600000001</v>
      </c>
      <c r="G230" s="39">
        <v>1620100.997</v>
      </c>
      <c r="H230" s="36">
        <v>53569.150999999998</v>
      </c>
      <c r="I230" s="39">
        <v>69908.31</v>
      </c>
      <c r="J230" s="36">
        <v>254391.62400000001</v>
      </c>
      <c r="K230" s="39">
        <v>345129.81300000002</v>
      </c>
      <c r="L230" s="36">
        <v>99076.95</v>
      </c>
      <c r="M230" s="39">
        <v>223915.859</v>
      </c>
      <c r="N230" s="36">
        <v>8871.6260000000002</v>
      </c>
      <c r="O230" s="39">
        <v>11953.414000000001</v>
      </c>
      <c r="P230" s="36">
        <f>129248.911+3718.5</f>
        <v>132967.41099999999</v>
      </c>
      <c r="Q230" s="39">
        <f>462514.313+4156.1</f>
        <v>466670.413</v>
      </c>
      <c r="R230" s="36">
        <v>5522.6880000000001</v>
      </c>
      <c r="S230" s="56">
        <v>10557.584000000001</v>
      </c>
    </row>
    <row r="231" spans="1:19" s="55" customFormat="1">
      <c r="A231" s="44">
        <v>10703</v>
      </c>
      <c r="B231" s="36">
        <v>1004809.199</v>
      </c>
      <c r="C231" s="36">
        <v>4097006.96</v>
      </c>
      <c r="D231" s="36">
        <v>201394.19699999999</v>
      </c>
      <c r="E231" s="39">
        <v>544543.19099999999</v>
      </c>
      <c r="F231" s="36">
        <v>368984.36700000003</v>
      </c>
      <c r="G231" s="39">
        <v>1989085.3640000001</v>
      </c>
      <c r="H231" s="36">
        <v>52736.313000000002</v>
      </c>
      <c r="I231" s="39">
        <v>122644.62300000001</v>
      </c>
      <c r="J231" s="36">
        <v>124039.91899999999</v>
      </c>
      <c r="K231" s="39">
        <v>469982.12199999997</v>
      </c>
      <c r="L231" s="36">
        <v>91804.134999999995</v>
      </c>
      <c r="M231" s="39">
        <v>315719.99400000001</v>
      </c>
      <c r="N231" s="36">
        <v>5805.143</v>
      </c>
      <c r="O231" s="39">
        <v>17758.557000000001</v>
      </c>
      <c r="P231" s="36">
        <f>145973.803+9042.6</f>
        <v>155016.40300000002</v>
      </c>
      <c r="Q231" s="39">
        <f>608488.116+13198.7</f>
        <v>621686.81599999999</v>
      </c>
      <c r="R231" s="36">
        <v>5028.7150000000001</v>
      </c>
      <c r="S231" s="56">
        <v>15586.299000000001</v>
      </c>
    </row>
    <row r="232" spans="1:19" s="55" customFormat="1">
      <c r="A232" s="44">
        <v>10704</v>
      </c>
      <c r="B232" s="36">
        <v>1346337.6880000003</v>
      </c>
      <c r="C232" s="36">
        <v>5443344.648</v>
      </c>
      <c r="D232" s="36">
        <v>218662.21299999999</v>
      </c>
      <c r="E232" s="39">
        <v>763205.40399999998</v>
      </c>
      <c r="F232" s="36">
        <v>471655.83</v>
      </c>
      <c r="G232" s="39">
        <v>2460741.1940000001</v>
      </c>
      <c r="H232" s="36">
        <v>81669.13</v>
      </c>
      <c r="I232" s="39">
        <v>204313.753</v>
      </c>
      <c r="J232" s="36">
        <v>260227.785</v>
      </c>
      <c r="K232" s="39">
        <v>730209.90700000001</v>
      </c>
      <c r="L232" s="36">
        <v>143188.18100000001</v>
      </c>
      <c r="M232" s="39">
        <v>458908.17499999999</v>
      </c>
      <c r="N232" s="36">
        <v>21412.97</v>
      </c>
      <c r="O232" s="39">
        <v>39171.527000000002</v>
      </c>
      <c r="P232" s="36">
        <f>125182.395+18595.482</f>
        <v>143777.87700000001</v>
      </c>
      <c r="Q232" s="39">
        <f>733670.511+31794.176</f>
        <v>765464.68700000003</v>
      </c>
      <c r="R232" s="36">
        <v>5743.7020000000002</v>
      </c>
      <c r="S232" s="56">
        <v>21330.001</v>
      </c>
    </row>
    <row r="233" spans="1:19" s="55" customFormat="1">
      <c r="A233" s="44">
        <v>10705</v>
      </c>
      <c r="B233" s="36">
        <v>1677723.2110000001</v>
      </c>
      <c r="C233" s="36">
        <v>7121067.8590000002</v>
      </c>
      <c r="D233" s="36">
        <v>159950.383</v>
      </c>
      <c r="E233" s="39">
        <v>923155.78700000001</v>
      </c>
      <c r="F233" s="36">
        <v>403495.815</v>
      </c>
      <c r="G233" s="39">
        <v>2864237.0090000001</v>
      </c>
      <c r="H233" s="36">
        <v>49400.644</v>
      </c>
      <c r="I233" s="39">
        <v>253714.397</v>
      </c>
      <c r="J233" s="36">
        <v>129693.572</v>
      </c>
      <c r="K233" s="39">
        <v>859903.47900000005</v>
      </c>
      <c r="L233" s="36">
        <v>158293.84899999999</v>
      </c>
      <c r="M233" s="39">
        <v>617202.02399999998</v>
      </c>
      <c r="N233" s="36">
        <v>15727.726000000001</v>
      </c>
      <c r="O233" s="39">
        <v>54899.252999999997</v>
      </c>
      <c r="P233" s="36">
        <f>748398.797+7947.8</f>
        <v>756346.59700000007</v>
      </c>
      <c r="Q233" s="39">
        <f>1482069.308+39742</f>
        <v>1521811.308</v>
      </c>
      <c r="R233" s="36">
        <v>4814.6270000000004</v>
      </c>
      <c r="S233" s="56">
        <v>26144.628000000001</v>
      </c>
    </row>
    <row r="234" spans="1:19" s="55" customFormat="1">
      <c r="A234" s="44">
        <v>10706</v>
      </c>
      <c r="B234" s="36">
        <v>1151946.43</v>
      </c>
      <c r="C234" s="36">
        <v>8273014.2889999989</v>
      </c>
      <c r="D234" s="36">
        <v>222011.38399999999</v>
      </c>
      <c r="E234" s="39">
        <v>1145167.1710000001</v>
      </c>
      <c r="F234" s="36">
        <v>395357.41600000003</v>
      </c>
      <c r="G234" s="39">
        <v>3259594.4249999998</v>
      </c>
      <c r="H234" s="36">
        <v>61854.639000000003</v>
      </c>
      <c r="I234" s="39">
        <v>315569.03600000002</v>
      </c>
      <c r="J234" s="36">
        <v>148063.04399999999</v>
      </c>
      <c r="K234" s="39">
        <v>1007966.523</v>
      </c>
      <c r="L234" s="36">
        <v>164408.30900000001</v>
      </c>
      <c r="M234" s="39">
        <v>781610.33299999998</v>
      </c>
      <c r="N234" s="36">
        <v>13910.054</v>
      </c>
      <c r="O234" s="39">
        <v>68809.307000000001</v>
      </c>
      <c r="P234" s="36">
        <f>138209.314+3505</f>
        <v>141714.31400000001</v>
      </c>
      <c r="Q234" s="39">
        <f>1620278.622+43247</f>
        <v>1663525.622</v>
      </c>
      <c r="R234" s="36">
        <v>4627.28</v>
      </c>
      <c r="S234" s="56">
        <v>30771.907999999999</v>
      </c>
    </row>
    <row r="235" spans="1:19" s="55" customFormat="1">
      <c r="A235" s="44">
        <v>10707</v>
      </c>
      <c r="B235" s="36">
        <v>1199861.6159999999</v>
      </c>
      <c r="C235" s="36">
        <v>9472875.9049999993</v>
      </c>
      <c r="D235" s="36">
        <v>180110.20499999999</v>
      </c>
      <c r="E235" s="39">
        <v>1325277.3759999999</v>
      </c>
      <c r="F235" s="36">
        <v>427060.04499999998</v>
      </c>
      <c r="G235" s="39">
        <v>3686654.47</v>
      </c>
      <c r="H235" s="36">
        <v>100375.224</v>
      </c>
      <c r="I235" s="39">
        <v>415944.26</v>
      </c>
      <c r="J235" s="36">
        <v>125899.052</v>
      </c>
      <c r="K235" s="39">
        <v>1133865.575</v>
      </c>
      <c r="L235" s="36">
        <v>184850.48499999999</v>
      </c>
      <c r="M235" s="39">
        <v>966460.81799999997</v>
      </c>
      <c r="N235" s="36">
        <v>24020.594000000001</v>
      </c>
      <c r="O235" s="39">
        <v>92829.900999999998</v>
      </c>
      <c r="P235" s="36">
        <f>144098.479+8964.3</f>
        <v>153062.77899999998</v>
      </c>
      <c r="Q235" s="39">
        <f>1764377.101+52211.2</f>
        <v>1816588.301</v>
      </c>
      <c r="R235" s="36">
        <v>4483.2569999999996</v>
      </c>
      <c r="S235" s="56">
        <v>35255.165000000001</v>
      </c>
    </row>
    <row r="236" spans="1:19" s="55" customFormat="1">
      <c r="A236" s="44">
        <v>10708</v>
      </c>
      <c r="B236" s="36">
        <v>1420916.929</v>
      </c>
      <c r="C236" s="36">
        <v>10893792.833999999</v>
      </c>
      <c r="D236" s="36">
        <v>233022.70499999999</v>
      </c>
      <c r="E236" s="39">
        <v>1558300.081</v>
      </c>
      <c r="F236" s="36">
        <v>341567.90399999998</v>
      </c>
      <c r="G236" s="39">
        <v>4028222.3739999998</v>
      </c>
      <c r="H236" s="36">
        <v>151729.24900000001</v>
      </c>
      <c r="I236" s="39">
        <v>567673.50899999996</v>
      </c>
      <c r="J236" s="36">
        <v>139379.60399999999</v>
      </c>
      <c r="K236" s="39">
        <v>1273245.179</v>
      </c>
      <c r="L236" s="36">
        <v>181891.791</v>
      </c>
      <c r="M236" s="39">
        <v>1148352.6089999999</v>
      </c>
      <c r="N236" s="36">
        <v>193368.16800000001</v>
      </c>
      <c r="O236" s="39">
        <v>286198.06900000002</v>
      </c>
      <c r="P236" s="36">
        <f>127328.7+47907.5</f>
        <v>175236.2</v>
      </c>
      <c r="Q236" s="39">
        <f>1891705.8+100118.8</f>
        <v>1991824.6</v>
      </c>
      <c r="R236" s="36">
        <v>4721.28</v>
      </c>
      <c r="S236" s="56">
        <v>39976.445</v>
      </c>
    </row>
    <row r="237" spans="1:19" s="55" customFormat="1">
      <c r="A237" s="44">
        <v>10709</v>
      </c>
      <c r="B237" s="36">
        <v>1521584.1</v>
      </c>
      <c r="C237" s="36">
        <v>12415376.9</v>
      </c>
      <c r="D237" s="36">
        <v>157573.6</v>
      </c>
      <c r="E237" s="39">
        <v>1715873.7</v>
      </c>
      <c r="F237" s="36">
        <v>570706.5</v>
      </c>
      <c r="G237" s="39">
        <v>4598928.9000000004</v>
      </c>
      <c r="H237" s="36">
        <v>270893.5</v>
      </c>
      <c r="I237" s="39">
        <v>838567</v>
      </c>
      <c r="J237" s="36">
        <v>132808.29999999999</v>
      </c>
      <c r="K237" s="39">
        <v>1406053.5</v>
      </c>
      <c r="L237" s="36">
        <v>192995.7</v>
      </c>
      <c r="M237" s="39">
        <v>1341348.3</v>
      </c>
      <c r="N237" s="36">
        <v>129906</v>
      </c>
      <c r="O237" s="39">
        <v>416104.1</v>
      </c>
      <c r="P237" s="36">
        <f>58295.8+4001.2</f>
        <v>62297</v>
      </c>
      <c r="Q237" s="39">
        <f>1950001.6+104120</f>
        <v>2054121.6</v>
      </c>
      <c r="R237" s="36">
        <v>4403.3999999999996</v>
      </c>
      <c r="S237" s="56">
        <v>44379.9</v>
      </c>
    </row>
    <row r="238" spans="1:19" s="55" customFormat="1">
      <c r="A238" s="44">
        <v>10710</v>
      </c>
      <c r="B238" s="36">
        <v>1680030.3950000003</v>
      </c>
      <c r="C238" s="36">
        <v>14095407.316</v>
      </c>
      <c r="D238" s="36">
        <v>211652.32800000001</v>
      </c>
      <c r="E238" s="39">
        <v>1927525.993</v>
      </c>
      <c r="F238" s="36">
        <v>541499.99800000002</v>
      </c>
      <c r="G238" s="39">
        <v>5140428.8890000004</v>
      </c>
      <c r="H238" s="36">
        <v>377278.02100000001</v>
      </c>
      <c r="I238" s="39">
        <v>1215845.057</v>
      </c>
      <c r="J238" s="36">
        <v>127246.19100000001</v>
      </c>
      <c r="K238" s="39">
        <v>1533299.666</v>
      </c>
      <c r="L238" s="36">
        <v>251620.834</v>
      </c>
      <c r="M238" s="39">
        <v>1592969.1769999999</v>
      </c>
      <c r="N238" s="36">
        <v>51457.696000000004</v>
      </c>
      <c r="O238" s="39">
        <v>467561.81199999998</v>
      </c>
      <c r="P238" s="36">
        <f>74468.2+40349.5</f>
        <v>114817.7</v>
      </c>
      <c r="Q238" s="39">
        <f>2024469.8+144469.5</f>
        <v>2168939.2999999998</v>
      </c>
      <c r="R238" s="36">
        <v>4457.6080000000002</v>
      </c>
      <c r="S238" s="56">
        <v>48837.464999999997</v>
      </c>
    </row>
    <row r="239" spans="1:19" s="55" customFormat="1">
      <c r="A239" s="44">
        <v>10711</v>
      </c>
      <c r="B239" s="36">
        <v>1518536.541</v>
      </c>
      <c r="C239" s="36">
        <v>15613943.857000001</v>
      </c>
      <c r="D239" s="36">
        <v>223694.86900000001</v>
      </c>
      <c r="E239" s="39">
        <v>2151220.8620000002</v>
      </c>
      <c r="F239" s="36">
        <v>330198.91600000003</v>
      </c>
      <c r="G239" s="39">
        <v>5470627.8049999997</v>
      </c>
      <c r="H239" s="36">
        <v>363094.32</v>
      </c>
      <c r="I239" s="39">
        <v>1578939.3770000001</v>
      </c>
      <c r="J239" s="36">
        <v>140834.375</v>
      </c>
      <c r="K239" s="39">
        <v>1674134.041</v>
      </c>
      <c r="L239" s="36">
        <v>252159.929</v>
      </c>
      <c r="M239" s="39">
        <v>1845129.1059999999</v>
      </c>
      <c r="N239" s="36">
        <v>78837.755999999994</v>
      </c>
      <c r="O239" s="39">
        <v>546399.56799999997</v>
      </c>
      <c r="P239" s="36">
        <f>96904.5+28273.3</f>
        <v>125177.8</v>
      </c>
      <c r="Q239" s="39">
        <f>2121374.3+172742.8</f>
        <v>2294117.0999999996</v>
      </c>
      <c r="R239" s="36">
        <v>4538.527</v>
      </c>
      <c r="S239" s="56">
        <v>53375.991999999998</v>
      </c>
    </row>
    <row r="240" spans="1:19" s="55" customFormat="1">
      <c r="A240" s="44">
        <v>10712</v>
      </c>
      <c r="B240" s="36">
        <v>2394571.1269999999</v>
      </c>
      <c r="C240" s="36">
        <v>18008514.983999997</v>
      </c>
      <c r="D240" s="36">
        <v>510682.87599999999</v>
      </c>
      <c r="E240" s="39">
        <v>2661903.7379999999</v>
      </c>
      <c r="F240" s="36">
        <v>194149.23300000001</v>
      </c>
      <c r="G240" s="39">
        <v>5664777.0379999997</v>
      </c>
      <c r="H240" s="36">
        <v>825833.74800000002</v>
      </c>
      <c r="I240" s="39">
        <v>2404773.125</v>
      </c>
      <c r="J240" s="36">
        <v>182515.71400000001</v>
      </c>
      <c r="K240" s="39">
        <v>1856649.7549999999</v>
      </c>
      <c r="L240" s="36">
        <v>400422.24300000002</v>
      </c>
      <c r="M240" s="39">
        <v>2245551.3489999999</v>
      </c>
      <c r="N240" s="36">
        <v>239273.484</v>
      </c>
      <c r="O240" s="39">
        <v>785673.05200000003</v>
      </c>
      <c r="P240" s="36">
        <f>-10767.1+47702.1</f>
        <v>36935</v>
      </c>
      <c r="Q240" s="39">
        <f>2110607.2+220444.9</f>
        <v>2331052.1</v>
      </c>
      <c r="R240" s="36">
        <v>4758.8370000000004</v>
      </c>
      <c r="S240" s="56">
        <v>58134.828999999998</v>
      </c>
    </row>
    <row r="241" spans="1:19" s="55" customFormat="1">
      <c r="A241" s="44">
        <v>10801</v>
      </c>
      <c r="B241" s="36">
        <v>2291063.2919999999</v>
      </c>
      <c r="C241" s="36">
        <v>2291063.2919999999</v>
      </c>
      <c r="D241" s="36">
        <v>271834.55200000003</v>
      </c>
      <c r="E241" s="39">
        <v>271834.55200000003</v>
      </c>
      <c r="F241" s="36">
        <v>1226216.7690000001</v>
      </c>
      <c r="G241" s="39">
        <v>1226216.7690000001</v>
      </c>
      <c r="H241" s="36">
        <v>30975.347000000002</v>
      </c>
      <c r="I241" s="39">
        <v>30975.347000000002</v>
      </c>
      <c r="J241" s="36">
        <v>230707.16399999999</v>
      </c>
      <c r="K241" s="39">
        <v>230707.16399999999</v>
      </c>
      <c r="L241" s="36">
        <v>187948.55</v>
      </c>
      <c r="M241" s="39">
        <v>187948.55</v>
      </c>
      <c r="N241" s="36">
        <v>8753.9339999999993</v>
      </c>
      <c r="O241" s="39">
        <v>8753.9339999999993</v>
      </c>
      <c r="P241" s="36">
        <f>326879.2+2076.9</f>
        <v>328956.10000000003</v>
      </c>
      <c r="Q241" s="39">
        <f>326879.2+2076.9</f>
        <v>328956.10000000003</v>
      </c>
      <c r="R241" s="36">
        <v>5670.8620000000001</v>
      </c>
      <c r="S241" s="56">
        <v>5670.8620000000001</v>
      </c>
    </row>
    <row r="242" spans="1:19" s="55" customFormat="1">
      <c r="A242" s="44">
        <v>10802</v>
      </c>
      <c r="B242" s="36">
        <v>1025908.9140000001</v>
      </c>
      <c r="C242" s="36">
        <v>3316972.2060000002</v>
      </c>
      <c r="D242" s="36">
        <v>180019.198</v>
      </c>
      <c r="E242" s="39">
        <v>451853.75</v>
      </c>
      <c r="F242" s="36">
        <v>434761.92499999999</v>
      </c>
      <c r="G242" s="39">
        <v>1660978.6939999999</v>
      </c>
      <c r="H242" s="36">
        <v>27568.355</v>
      </c>
      <c r="I242" s="39">
        <v>58543.701999999997</v>
      </c>
      <c r="J242" s="36">
        <v>124372.356</v>
      </c>
      <c r="K242" s="39">
        <v>355079.52</v>
      </c>
      <c r="L242" s="36">
        <v>114345.61</v>
      </c>
      <c r="M242" s="39">
        <v>302294.15999999997</v>
      </c>
      <c r="N242" s="36">
        <v>13146.285</v>
      </c>
      <c r="O242" s="39">
        <v>21900.219000000001</v>
      </c>
      <c r="P242" s="36">
        <f>122316.6+3605.4</f>
        <v>125922</v>
      </c>
      <c r="Q242" s="39">
        <f>449195.8+8682.3</f>
        <v>457878.1</v>
      </c>
      <c r="R242" s="36">
        <v>5773.1540000000005</v>
      </c>
      <c r="S242" s="56">
        <v>11444.016</v>
      </c>
    </row>
    <row r="243" spans="1:19" s="55" customFormat="1">
      <c r="A243" s="44">
        <v>10803</v>
      </c>
      <c r="B243" s="36">
        <v>1118905.061</v>
      </c>
      <c r="C243" s="36">
        <v>4435877.267</v>
      </c>
      <c r="D243" s="36">
        <v>170785.927</v>
      </c>
      <c r="E243" s="39">
        <v>622639.67700000003</v>
      </c>
      <c r="F243" s="36">
        <v>376153.55200000003</v>
      </c>
      <c r="G243" s="39">
        <v>2037132.246</v>
      </c>
      <c r="H243" s="36">
        <v>88296.962</v>
      </c>
      <c r="I243" s="39">
        <v>146840.66399999999</v>
      </c>
      <c r="J243" s="36">
        <v>124949.336</v>
      </c>
      <c r="K243" s="39">
        <v>480028.85600000003</v>
      </c>
      <c r="L243" s="36">
        <v>174932.85699999999</v>
      </c>
      <c r="M243" s="39">
        <v>477227.01699999999</v>
      </c>
      <c r="N243" s="36">
        <v>19189.439999999999</v>
      </c>
      <c r="O243" s="39">
        <v>41089.659</v>
      </c>
      <c r="P243" s="36">
        <f>144477+15662.7</f>
        <v>160139.70000000001</v>
      </c>
      <c r="Q243" s="39">
        <f>593672.8+21345.1</f>
        <v>615017.9</v>
      </c>
      <c r="R243" s="36">
        <v>4457.2929999999997</v>
      </c>
      <c r="S243" s="56">
        <v>15901.308999999999</v>
      </c>
    </row>
    <row r="244" spans="1:19" s="55" customFormat="1">
      <c r="A244" s="44">
        <v>10804</v>
      </c>
      <c r="B244" s="36">
        <v>1415979.0690000001</v>
      </c>
      <c r="C244" s="36">
        <v>5851856.3360000001</v>
      </c>
      <c r="D244" s="36">
        <v>213798.55900000001</v>
      </c>
      <c r="E244" s="39">
        <v>836438.23600000003</v>
      </c>
      <c r="F244" s="36">
        <v>505281.56699999998</v>
      </c>
      <c r="G244" s="39">
        <v>2542413.8130000001</v>
      </c>
      <c r="H244" s="36">
        <v>85012</v>
      </c>
      <c r="I244" s="39">
        <v>231852.66399999999</v>
      </c>
      <c r="J244" s="36">
        <v>224653.45600000001</v>
      </c>
      <c r="K244" s="39">
        <v>704682.31200000003</v>
      </c>
      <c r="L244" s="36">
        <v>176241.67499999999</v>
      </c>
      <c r="M244" s="39">
        <v>653468.69200000004</v>
      </c>
      <c r="N244" s="36">
        <v>72026.971999999994</v>
      </c>
      <c r="O244" s="39">
        <v>113116.63099999999</v>
      </c>
      <c r="P244" s="36">
        <f>122482.9+11701.4</f>
        <v>134184.29999999999</v>
      </c>
      <c r="Q244" s="39">
        <f>716155.7+33046.5</f>
        <v>749202.2</v>
      </c>
      <c r="R244" s="36">
        <v>4780.4520000000002</v>
      </c>
      <c r="S244" s="56">
        <v>20681.760999999999</v>
      </c>
    </row>
    <row r="245" spans="1:19" s="55" customFormat="1">
      <c r="A245" s="44">
        <v>10805</v>
      </c>
      <c r="B245" s="36">
        <v>1655004.3849999998</v>
      </c>
      <c r="C245" s="36">
        <v>7506860.720999999</v>
      </c>
      <c r="D245" s="36">
        <v>138783.84899999999</v>
      </c>
      <c r="E245" s="39">
        <v>975222.08499999996</v>
      </c>
      <c r="F245" s="36">
        <v>473908.59600000002</v>
      </c>
      <c r="G245" s="39">
        <v>3016322.409</v>
      </c>
      <c r="H245" s="36">
        <v>83231.430999999997</v>
      </c>
      <c r="I245" s="39">
        <v>315084.09499999997</v>
      </c>
      <c r="J245" s="36">
        <v>139198.533</v>
      </c>
      <c r="K245" s="39">
        <v>843880.84499999997</v>
      </c>
      <c r="L245" s="36">
        <v>227414.443</v>
      </c>
      <c r="M245" s="39">
        <v>880883.13500000001</v>
      </c>
      <c r="N245" s="36">
        <v>9977.6059999999998</v>
      </c>
      <c r="O245" s="39">
        <v>123094.23699999999</v>
      </c>
      <c r="P245" s="36">
        <f>574154.7+3867.7</f>
        <v>578022.39999999991</v>
      </c>
      <c r="Q245" s="39">
        <f>1290310.4+36914.2</f>
        <v>1327224.5999999999</v>
      </c>
      <c r="R245" s="36">
        <v>4467.4870000000001</v>
      </c>
      <c r="S245" s="56">
        <v>25149.248</v>
      </c>
    </row>
    <row r="246" spans="1:19">
      <c r="A246" s="44">
        <v>10806</v>
      </c>
      <c r="B246" s="36">
        <v>1462659.5940000003</v>
      </c>
      <c r="C246" s="36">
        <v>8969520.3149999995</v>
      </c>
      <c r="D246" s="36">
        <v>181002.98199999999</v>
      </c>
      <c r="E246" s="39">
        <v>1156225.067</v>
      </c>
      <c r="F246" s="36">
        <v>477545.18800000002</v>
      </c>
      <c r="G246" s="39">
        <v>3493867.5970000001</v>
      </c>
      <c r="H246" s="36">
        <v>169682.21100000001</v>
      </c>
      <c r="I246" s="39">
        <v>484766.30599999998</v>
      </c>
      <c r="J246" s="36">
        <v>149816.64499999999</v>
      </c>
      <c r="K246" s="39">
        <v>993697.49</v>
      </c>
      <c r="L246" s="36">
        <v>213660.56599999999</v>
      </c>
      <c r="M246" s="39">
        <v>1094543.7009999999</v>
      </c>
      <c r="N246" s="36">
        <v>132812.272</v>
      </c>
      <c r="O246" s="39">
        <v>255906.50899999999</v>
      </c>
      <c r="P246" s="36">
        <f>130025.887+3604.3</f>
        <v>133630.18700000001</v>
      </c>
      <c r="Q246" s="39">
        <f>1420336.325+40518.5</f>
        <v>1460854.825</v>
      </c>
      <c r="R246" s="36">
        <v>4509.527</v>
      </c>
      <c r="S246" s="56">
        <v>29658.775000000001</v>
      </c>
    </row>
    <row r="247" spans="1:19">
      <c r="A247" s="44">
        <v>10807</v>
      </c>
      <c r="B247" s="36">
        <v>1447733.7240000004</v>
      </c>
      <c r="C247" s="36">
        <v>10417254.039000001</v>
      </c>
      <c r="D247" s="36">
        <v>255054.44399999999</v>
      </c>
      <c r="E247" s="39">
        <v>1411279.5109999999</v>
      </c>
      <c r="F247" s="36">
        <v>452976.21100000001</v>
      </c>
      <c r="G247" s="39">
        <v>3946843.8080000002</v>
      </c>
      <c r="H247" s="36">
        <v>113530.193</v>
      </c>
      <c r="I247" s="39">
        <v>598296.49899999995</v>
      </c>
      <c r="J247" s="36">
        <v>129899.60400000001</v>
      </c>
      <c r="K247" s="39">
        <v>1123597.094</v>
      </c>
      <c r="L247" s="36">
        <v>255816.046</v>
      </c>
      <c r="M247" s="39">
        <v>1350359.747</v>
      </c>
      <c r="N247" s="36">
        <v>97885.411999999997</v>
      </c>
      <c r="O247" s="39">
        <v>353791.92099999997</v>
      </c>
      <c r="P247" s="36">
        <f>135400.961+2798</f>
        <v>138198.96100000001</v>
      </c>
      <c r="Q247" s="39">
        <f>1555737.286+43316.6</f>
        <v>1599053.8860000002</v>
      </c>
      <c r="R247" s="36">
        <v>4372.8159999999998</v>
      </c>
      <c r="S247" s="56">
        <v>34031.591</v>
      </c>
    </row>
    <row r="248" spans="1:19">
      <c r="A248" s="44">
        <v>10808</v>
      </c>
      <c r="B248" s="36">
        <v>1451993.4690000003</v>
      </c>
      <c r="C248" s="36">
        <v>11869247.507999999</v>
      </c>
      <c r="D248" s="36">
        <v>253806.976</v>
      </c>
      <c r="E248" s="39">
        <v>1665086.487</v>
      </c>
      <c r="F248" s="36">
        <v>386621.83600000001</v>
      </c>
      <c r="G248" s="39">
        <v>4333465.6440000003</v>
      </c>
      <c r="H248" s="36">
        <v>222407.859</v>
      </c>
      <c r="I248" s="39">
        <v>820704.35800000001</v>
      </c>
      <c r="J248" s="36">
        <v>140763.87700000001</v>
      </c>
      <c r="K248" s="39">
        <v>1264360.9709999999</v>
      </c>
      <c r="L248" s="36">
        <v>217075.17</v>
      </c>
      <c r="M248" s="39">
        <v>1567434.9169999999</v>
      </c>
      <c r="N248" s="36">
        <v>104076.192</v>
      </c>
      <c r="O248" s="39">
        <v>457868.11300000001</v>
      </c>
      <c r="P248" s="36">
        <f>120861.066+2054.405</f>
        <v>122915.47100000001</v>
      </c>
      <c r="Q248" s="39">
        <f>1676598.352+45370.987</f>
        <v>1721969.3389999999</v>
      </c>
      <c r="R248" s="36">
        <v>4326.0879999999997</v>
      </c>
      <c r="S248" s="56">
        <v>38357.678999999996</v>
      </c>
    </row>
    <row r="249" spans="1:19">
      <c r="A249" s="44">
        <v>10809</v>
      </c>
      <c r="B249" s="36">
        <v>1400997.588</v>
      </c>
      <c r="C249" s="36">
        <v>13270245.096000003</v>
      </c>
      <c r="D249" s="36">
        <v>153916.81</v>
      </c>
      <c r="E249" s="39">
        <v>1819003.297</v>
      </c>
      <c r="F249" s="36">
        <v>638730.76199999999</v>
      </c>
      <c r="G249" s="39">
        <v>4972196.4060000004</v>
      </c>
      <c r="H249" s="36">
        <v>106432.175</v>
      </c>
      <c r="I249" s="39">
        <v>927136.53300000005</v>
      </c>
      <c r="J249" s="36">
        <v>127038.675</v>
      </c>
      <c r="K249" s="39">
        <v>1391399.6459999999</v>
      </c>
      <c r="L249" s="36">
        <v>234543.63200000001</v>
      </c>
      <c r="M249" s="39">
        <v>1801978.5490000001</v>
      </c>
      <c r="N249" s="36">
        <v>11075.717000000001</v>
      </c>
      <c r="O249" s="39">
        <v>468943.83</v>
      </c>
      <c r="P249" s="36">
        <f>121186.864+3800</f>
        <v>124986.864</v>
      </c>
      <c r="Q249" s="39">
        <f>1797785.216+49171</f>
        <v>1846956.216</v>
      </c>
      <c r="R249" s="36">
        <v>4272.9709999999995</v>
      </c>
      <c r="S249" s="56">
        <v>42630.65</v>
      </c>
    </row>
    <row r="250" spans="1:19">
      <c r="A250" s="44">
        <v>10810</v>
      </c>
      <c r="B250" s="36">
        <v>1478676.5019999999</v>
      </c>
      <c r="C250" s="36">
        <v>14748921.598000001</v>
      </c>
      <c r="D250" s="36">
        <v>197314.54699999999</v>
      </c>
      <c r="E250" s="39">
        <v>2016317.844</v>
      </c>
      <c r="F250" s="36">
        <v>468078.11499999999</v>
      </c>
      <c r="G250" s="39">
        <v>5440274.5209999997</v>
      </c>
      <c r="H250" s="36">
        <v>215282.05100000001</v>
      </c>
      <c r="I250" s="39">
        <v>1142418.584</v>
      </c>
      <c r="J250" s="36">
        <v>147784.21799999999</v>
      </c>
      <c r="K250" s="39">
        <v>1539183.8640000001</v>
      </c>
      <c r="L250" s="36">
        <v>214632.86199999999</v>
      </c>
      <c r="M250" s="39">
        <v>2016611.4110000001</v>
      </c>
      <c r="N250" s="36">
        <v>91672.100999999995</v>
      </c>
      <c r="O250" s="39">
        <v>560615.93099999998</v>
      </c>
      <c r="P250" s="36">
        <f>119687.325+20085.069</f>
        <v>139772.394</v>
      </c>
      <c r="Q250" s="39">
        <f>1917472.541+69256.038</f>
        <v>1986728.5789999999</v>
      </c>
      <c r="R250" s="36">
        <v>4140.2139999999999</v>
      </c>
      <c r="S250" s="56">
        <v>46770.864000000001</v>
      </c>
    </row>
    <row r="251" spans="1:19">
      <c r="A251" s="44">
        <v>10811</v>
      </c>
      <c r="B251" s="36">
        <v>1438981.4010000001</v>
      </c>
      <c r="C251" s="36">
        <v>16187902.999</v>
      </c>
      <c r="D251" s="36">
        <v>195927.56400000001</v>
      </c>
      <c r="E251" s="39">
        <v>2212245.4079999998</v>
      </c>
      <c r="F251" s="36">
        <v>293653.386</v>
      </c>
      <c r="G251" s="39">
        <v>5733927.9069999997</v>
      </c>
      <c r="H251" s="36">
        <v>287498.89600000001</v>
      </c>
      <c r="I251" s="39">
        <v>1429917.48</v>
      </c>
      <c r="J251" s="36">
        <v>134506.073</v>
      </c>
      <c r="K251" s="39">
        <v>1673689.9369999999</v>
      </c>
      <c r="L251" s="36">
        <v>255634.302</v>
      </c>
      <c r="M251" s="39">
        <v>2272245.713</v>
      </c>
      <c r="N251" s="36">
        <v>218148.61300000001</v>
      </c>
      <c r="O251" s="39">
        <v>778764.54399999999</v>
      </c>
      <c r="P251" s="36">
        <f>39987.816+9351.529</f>
        <v>49339.345000000001</v>
      </c>
      <c r="Q251" s="39">
        <f>1957460.357+78607.567</f>
        <v>2036067.9240000001</v>
      </c>
      <c r="R251" s="36">
        <v>4273.2219999999998</v>
      </c>
      <c r="S251" s="56">
        <v>51044.086000000003</v>
      </c>
    </row>
    <row r="252" spans="1:19">
      <c r="A252" s="44">
        <v>10812</v>
      </c>
      <c r="B252" s="36">
        <v>1345091.9000000001</v>
      </c>
      <c r="C252" s="36">
        <v>17532994.899</v>
      </c>
      <c r="D252" s="36">
        <v>236872.04699999999</v>
      </c>
      <c r="E252" s="39">
        <v>2449117.4550000001</v>
      </c>
      <c r="F252" s="36">
        <v>250492.58</v>
      </c>
      <c r="G252" s="39">
        <v>5984420.4869999997</v>
      </c>
      <c r="H252" s="36">
        <v>288015.97499999998</v>
      </c>
      <c r="I252" s="39">
        <v>1717933.4550000001</v>
      </c>
      <c r="J252" s="36">
        <v>142919.641</v>
      </c>
      <c r="K252" s="39">
        <v>1816609.578</v>
      </c>
      <c r="L252" s="36">
        <v>324969.83299999998</v>
      </c>
      <c r="M252" s="39">
        <v>2597215.5460000001</v>
      </c>
      <c r="N252" s="36">
        <v>83594.262000000002</v>
      </c>
      <c r="O252" s="39">
        <v>862358.80599999998</v>
      </c>
      <c r="P252" s="36">
        <f>6711.208+7384.359</f>
        <v>14095.566999999999</v>
      </c>
      <c r="Q252" s="39">
        <f>1964171.565+85991.926</f>
        <v>2050163.4909999999</v>
      </c>
      <c r="R252" s="36">
        <v>4131.9949999999999</v>
      </c>
      <c r="S252" s="56">
        <v>55176.080999999998</v>
      </c>
    </row>
    <row r="253" spans="1:19">
      <c r="A253" s="44">
        <v>10901</v>
      </c>
      <c r="B253" s="36">
        <v>2300872.4670000002</v>
      </c>
      <c r="C253" s="36">
        <v>2300872.4670000002</v>
      </c>
      <c r="D253" s="36">
        <v>270678.38799999998</v>
      </c>
      <c r="E253" s="39">
        <v>270678.38799999998</v>
      </c>
      <c r="F253" s="36">
        <v>1243847.588</v>
      </c>
      <c r="G253" s="39">
        <v>1243847.588</v>
      </c>
      <c r="H253" s="36">
        <v>21078.576000000001</v>
      </c>
      <c r="I253" s="39">
        <v>21078.576000000001</v>
      </c>
      <c r="J253" s="36">
        <v>236966.408</v>
      </c>
      <c r="K253" s="39">
        <v>236966.408</v>
      </c>
      <c r="L253" s="36">
        <v>204106.18599999999</v>
      </c>
      <c r="M253" s="39">
        <v>204106.18599999999</v>
      </c>
      <c r="N253" s="36">
        <v>8282.3649999999998</v>
      </c>
      <c r="O253" s="39">
        <v>8282.3649999999998</v>
      </c>
      <c r="P253" s="36">
        <f>306939.753+2746.815</f>
        <v>309686.56800000003</v>
      </c>
      <c r="Q253" s="39">
        <f>306939.753+2746.815</f>
        <v>309686.56800000003</v>
      </c>
      <c r="R253" s="36">
        <v>6226.3879999999999</v>
      </c>
      <c r="S253" s="56">
        <v>6226.3879999999999</v>
      </c>
    </row>
    <row r="254" spans="1:19" ht="17.25" thickBot="1">
      <c r="A254" s="49">
        <v>10902</v>
      </c>
      <c r="B254" s="50">
        <v>1133806.7950000002</v>
      </c>
      <c r="C254" s="50">
        <v>3434679.2619999996</v>
      </c>
      <c r="D254" s="50">
        <v>134421.61499999999</v>
      </c>
      <c r="E254" s="57">
        <v>405100.00300000003</v>
      </c>
      <c r="F254" s="50">
        <v>395712.63500000001</v>
      </c>
      <c r="G254" s="57">
        <v>1639560.223</v>
      </c>
      <c r="H254" s="50">
        <v>65820.002999999997</v>
      </c>
      <c r="I254" s="57">
        <v>86898.578999999998</v>
      </c>
      <c r="J254" s="50">
        <v>124002.211</v>
      </c>
      <c r="K254" s="57">
        <v>360968.61900000001</v>
      </c>
      <c r="L254" s="50">
        <v>215468.55499999999</v>
      </c>
      <c r="M254" s="57">
        <v>419574.74099999998</v>
      </c>
      <c r="N254" s="50">
        <v>74056.639999999999</v>
      </c>
      <c r="O254" s="57">
        <v>82339.005000000005</v>
      </c>
      <c r="P254" s="50">
        <f>115216.284+2758.585</f>
        <v>117974.86900000001</v>
      </c>
      <c r="Q254" s="57">
        <f>422156.037+5505.4</f>
        <v>427661.43700000003</v>
      </c>
      <c r="R254" s="50">
        <v>6350.2669999999998</v>
      </c>
      <c r="S254" s="58">
        <v>12576.655000000001</v>
      </c>
    </row>
  </sheetData>
  <mergeCells count="28">
    <mergeCell ref="A3:A6"/>
    <mergeCell ref="B3:C4"/>
    <mergeCell ref="D3:E4"/>
    <mergeCell ref="F3:G4"/>
    <mergeCell ref="I5:I6"/>
    <mergeCell ref="P3:Q4"/>
    <mergeCell ref="R3:S4"/>
    <mergeCell ref="B5:B6"/>
    <mergeCell ref="C5:C6"/>
    <mergeCell ref="D5:D6"/>
    <mergeCell ref="E5:E6"/>
    <mergeCell ref="F5:F6"/>
    <mergeCell ref="G5:G6"/>
    <mergeCell ref="H5:H6"/>
    <mergeCell ref="H3:I4"/>
    <mergeCell ref="J3:K4"/>
    <mergeCell ref="L3:M4"/>
    <mergeCell ref="N3:O4"/>
    <mergeCell ref="J5:J6"/>
    <mergeCell ref="K5:K6"/>
    <mergeCell ref="L5:L6"/>
    <mergeCell ref="Q5:Q6"/>
    <mergeCell ref="R5:R6"/>
    <mergeCell ref="S5:S6"/>
    <mergeCell ref="M5:M6"/>
    <mergeCell ref="N5:N6"/>
    <mergeCell ref="O5:O6"/>
    <mergeCell ref="P5:P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76" orientation="landscape" horizontalDpi="4294967292" verticalDpi="300" r:id="rId1"/>
  <headerFooter alignWithMargins="0"/>
  <rowBreaks count="1" manualBreakCount="1">
    <brk id="10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4歲出實付數</vt:lpstr>
      <vt:lpstr>' 4歲出實付數'!Print_Titles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2011-10-21T01:15:17Z</dcterms:created>
  <dcterms:modified xsi:type="dcterms:W3CDTF">2020-04-06T07:27:32Z</dcterms:modified>
</cp:coreProperties>
</file>